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3\02\22\"/>
    </mc:Choice>
  </mc:AlternateContent>
  <xr:revisionPtr revIDLastSave="0" documentId="13_ncr:1_{D7C32233-49F8-4E3F-A31A-849A70EEF6D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лан доходов " sheetId="1" r:id="rId1"/>
  </sheets>
  <definedNames>
    <definedName name="_xlnm._FilterDatabase" localSheetId="0" hidden="1">'План доходов '!$A$6:$AT$59</definedName>
    <definedName name="Z_03D5E49F_24F7_44F7_8210_D85778C981A4_.wvu.FilterData" localSheetId="0" hidden="1">'План доходов '!$A$6:$AT$59</definedName>
    <definedName name="Z_117A7AA9_056F_4018_98AD_EAECFC43F1B3_.wvu.Cols" localSheetId="0" hidden="1">'План доходов '!$B:$H,'План доходов '!$J:$T,'План доходов '!$V:$V,'План доходов '!$X:$X,'План доходов '!$AC:$AC,'План доходов '!$AF:$AG,'План доходов '!$AJ:$AK,'План доходов '!$AP:$AR</definedName>
    <definedName name="Z_117A7AA9_056F_4018_98AD_EAECFC43F1B3_.wvu.FilterData" localSheetId="0" hidden="1">'План доходов '!$A$6:$AT$59</definedName>
    <definedName name="Z_117A7AA9_056F_4018_98AD_EAECFC43F1B3_.wvu.PrintArea" localSheetId="0" hidden="1">'План доходов '!$A$1:$AO$62</definedName>
    <definedName name="Z_117A7AA9_056F_4018_98AD_EAECFC43F1B3_.wvu.PrintTitles" localSheetId="0" hidden="1">'План доходов '!$4:$6</definedName>
    <definedName name="Z_117A7AA9_056F_4018_98AD_EAECFC43F1B3_.wvu.Rows" localSheetId="0" hidden="1">'План доходов '!$64:$65</definedName>
    <definedName name="Z_4CBCD9D8_B3F5_4722_8CE7_38B89561B806_.wvu.Cols" localSheetId="0" hidden="1">'План доходов '!$B:$H,'План доходов '!$J:$O,'План доходов '!$AC:$AC,'План доходов '!$AJ:$AK,'План доходов '!$AP:$AR</definedName>
    <definedName name="Z_4CBCD9D8_B3F5_4722_8CE7_38B89561B806_.wvu.PrintArea" localSheetId="0" hidden="1">'План доходов '!$A$1:$AR$62</definedName>
    <definedName name="Z_4CBCD9D8_B3F5_4722_8CE7_38B89561B806_.wvu.PrintTitles" localSheetId="0" hidden="1">'План доходов '!$4:$6</definedName>
    <definedName name="Z_4CBCD9D8_B3F5_4722_8CE7_38B89561B806_.wvu.Rows" localSheetId="0" hidden="1">'План доходов '!$64:$65</definedName>
    <definedName name="Z_583FA723_9D22_4D8A_87C2_40F053D3EC03_.wvu.FilterData" localSheetId="0" hidden="1">'План доходов '!$A$6:$AT$59</definedName>
    <definedName name="Z_65E97C0E_073B_49BA_9AB4_D888408B0A75_.wvu.FilterData" localSheetId="0" hidden="1">'План доходов '!$A$6:$AT$59</definedName>
    <definedName name="Z_71A44519_BDEF_434C_95CC_A4A24B3AF9C3_.wvu.FilterData" localSheetId="0" hidden="1">'План доходов '!$A$6:$AT$59</definedName>
    <definedName name="Z_7DC50C37_F81E_464D_BE66_31375C660B0F_.wvu.Cols" localSheetId="0" hidden="1">'План доходов '!$B:$H,'План доходов '!$J:$L,'План доходов '!$N:$N,'План доходов '!$Q:$Q,'План доходов '!$AC:$AC,'План доходов '!$AJ:$AK,'План доходов '!$AR:$AR</definedName>
    <definedName name="Z_7DC50C37_F81E_464D_BE66_31375C660B0F_.wvu.PrintArea" localSheetId="0" hidden="1">'План доходов '!$A$1:$AR$62</definedName>
    <definedName name="Z_7DC50C37_F81E_464D_BE66_31375C660B0F_.wvu.PrintTitles" localSheetId="0" hidden="1">'План доходов '!$4:$6</definedName>
    <definedName name="Z_7DC50C37_F81E_464D_BE66_31375C660B0F_.wvu.Rows" localSheetId="0" hidden="1">'План доходов '!$64:$65</definedName>
    <definedName name="Z_EFA3296C_EA11_4228_A03B_6841E5AF5251_.wvu.Cols" localSheetId="0" hidden="1">'План доходов '!$B:$H,'План доходов '!$J:$T,'План доходов '!$V:$V,'План доходов '!$X:$X,'План доходов '!$AF:$AG,'План доходов '!$AJ:$AK,'План доходов '!$AP:$AR</definedName>
    <definedName name="Z_EFA3296C_EA11_4228_A03B_6841E5AF5251_.wvu.FilterData" localSheetId="0" hidden="1">'План доходов '!$A$6:$AT$59</definedName>
    <definedName name="Z_EFA3296C_EA11_4228_A03B_6841E5AF5251_.wvu.PrintArea" localSheetId="0" hidden="1">'План доходов '!$A$1:$AP$62</definedName>
    <definedName name="Z_EFA3296C_EA11_4228_A03B_6841E5AF5251_.wvu.PrintTitles" localSheetId="0" hidden="1">'План доходов '!$4:$6</definedName>
    <definedName name="Z_EFA3296C_EA11_4228_A03B_6841E5AF5251_.wvu.Rows" localSheetId="0" hidden="1">'План доходов '!$64:$65</definedName>
    <definedName name="_xlnm.Print_Titles" localSheetId="0">'План доходов '!$4:$6</definedName>
    <definedName name="_xlnm.Print_Area" localSheetId="0">'План доходов '!$A$1:$AP$62</definedName>
  </definedNames>
  <calcPr calcId="191029"/>
  <customWorkbookViews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PUSP2 - Личное представление" guid="{EFA3296C-EA11-4228-A03B-6841E5AF525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9" i="1" l="1"/>
  <c r="AL39" i="1" s="1"/>
  <c r="AD38" i="1"/>
  <c r="AM38" i="1" s="1"/>
  <c r="AD11" i="1"/>
  <c r="X7" i="1"/>
  <c r="Y7" i="1"/>
  <c r="Z7" i="1"/>
  <c r="AA7" i="1"/>
  <c r="AB7" i="1"/>
  <c r="W7" i="1"/>
  <c r="AB48" i="1"/>
  <c r="AB28" i="1"/>
  <c r="AD10" i="1"/>
  <c r="AB50" i="1"/>
  <c r="AB47" i="1"/>
  <c r="AB42" i="1"/>
  <c r="AB35" i="1"/>
  <c r="AB34" i="1" s="1"/>
  <c r="AB31" i="1"/>
  <c r="AB29" i="1"/>
  <c r="AB27" i="1"/>
  <c r="AB24" i="1"/>
  <c r="AB17" i="1"/>
  <c r="AB9" i="1" s="1"/>
  <c r="AA50" i="1"/>
  <c r="AA48" i="1"/>
  <c r="AA47" i="1"/>
  <c r="AA42" i="1"/>
  <c r="AA35" i="1"/>
  <c r="AA34" i="1" s="1"/>
  <c r="AA31" i="1"/>
  <c r="AA29" i="1"/>
  <c r="AA28" i="1"/>
  <c r="AA27" i="1"/>
  <c r="AA24" i="1"/>
  <c r="AA23" i="1" s="1"/>
  <c r="AA17" i="1"/>
  <c r="AA9" i="1" s="1"/>
  <c r="V50" i="1"/>
  <c r="V47" i="1"/>
  <c r="V42" i="1"/>
  <c r="V35" i="1"/>
  <c r="V34" i="1"/>
  <c r="V31" i="1"/>
  <c r="V29" i="1"/>
  <c r="V27" i="1"/>
  <c r="V24" i="1"/>
  <c r="V23" i="1" s="1"/>
  <c r="V22" i="1" s="1"/>
  <c r="V17" i="1"/>
  <c r="V9" i="1"/>
  <c r="AK22" i="1"/>
  <c r="AC59" i="1"/>
  <c r="AE38" i="1"/>
  <c r="AE39" i="1"/>
  <c r="Z31" i="1"/>
  <c r="Z50" i="1"/>
  <c r="Z47" i="1"/>
  <c r="Z42" i="1"/>
  <c r="Z35" i="1"/>
  <c r="Z29" i="1"/>
  <c r="Z27" i="1"/>
  <c r="Z24" i="1"/>
  <c r="Z17" i="1"/>
  <c r="Z9" i="1" s="1"/>
  <c r="AL38" i="1" l="1"/>
  <c r="AB23" i="1"/>
  <c r="AB22" i="1" s="1"/>
  <c r="AB8" i="1" s="1"/>
  <c r="AA22" i="1"/>
  <c r="AA8" i="1"/>
  <c r="V7" i="1"/>
  <c r="V8" i="1" s="1"/>
  <c r="Z34" i="1"/>
  <c r="Z23" i="1"/>
  <c r="Z22" i="1" l="1"/>
  <c r="AA59" i="1"/>
  <c r="Z59" i="1" l="1"/>
  <c r="Z8" i="1"/>
  <c r="W46" i="1" l="1"/>
  <c r="W26" i="1"/>
  <c r="W19" i="1"/>
  <c r="W18" i="1"/>
  <c r="AI38" i="1"/>
  <c r="AI39" i="1"/>
  <c r="AG38" i="1"/>
  <c r="AG39" i="1"/>
  <c r="AF38" i="1"/>
  <c r="AF39" i="1"/>
  <c r="U10" i="1"/>
  <c r="X50" i="1"/>
  <c r="X47" i="1"/>
  <c r="X42" i="1"/>
  <c r="X35" i="1"/>
  <c r="X34" i="1" s="1"/>
  <c r="X31" i="1"/>
  <c r="X29" i="1"/>
  <c r="X27" i="1"/>
  <c r="X24" i="1"/>
  <c r="X17" i="1"/>
  <c r="X9" i="1" s="1"/>
  <c r="AN39" i="1"/>
  <c r="AH39" i="1"/>
  <c r="AN38" i="1"/>
  <c r="AH38" i="1"/>
  <c r="Y35" i="1"/>
  <c r="Y34" i="1" s="1"/>
  <c r="AD58" i="1"/>
  <c r="AL58" i="1" s="1"/>
  <c r="AD57" i="1"/>
  <c r="AL57" i="1" s="1"/>
  <c r="AD56" i="1"/>
  <c r="AD55" i="1"/>
  <c r="AL55" i="1" s="1"/>
  <c r="AD54" i="1"/>
  <c r="AD53" i="1"/>
  <c r="AD52" i="1"/>
  <c r="AD51" i="1"/>
  <c r="AD49" i="1"/>
  <c r="AD48" i="1"/>
  <c r="AD46" i="1"/>
  <c r="AD45" i="1"/>
  <c r="AD44" i="1"/>
  <c r="AL44" i="1" s="1"/>
  <c r="AD43" i="1"/>
  <c r="AD41" i="1"/>
  <c r="AL41" i="1" s="1"/>
  <c r="AD40" i="1"/>
  <c r="AL40" i="1" s="1"/>
  <c r="AD37" i="1"/>
  <c r="AD36" i="1"/>
  <c r="AD33" i="1"/>
  <c r="AD32" i="1"/>
  <c r="AD30" i="1"/>
  <c r="AD28" i="1"/>
  <c r="AD27" i="1" s="1"/>
  <c r="AD26" i="1"/>
  <c r="AD25" i="1"/>
  <c r="AD21" i="1"/>
  <c r="AL21" i="1" s="1"/>
  <c r="AD20" i="1"/>
  <c r="AD19" i="1"/>
  <c r="AD18" i="1"/>
  <c r="AD16" i="1"/>
  <c r="AD15" i="1"/>
  <c r="AD14" i="1"/>
  <c r="AD13" i="1"/>
  <c r="AD12" i="1"/>
  <c r="W25" i="1"/>
  <c r="W10" i="1"/>
  <c r="W58" i="1"/>
  <c r="W57" i="1"/>
  <c r="W55" i="1"/>
  <c r="W54" i="1"/>
  <c r="W52" i="1"/>
  <c r="W51" i="1"/>
  <c r="W49" i="1"/>
  <c r="W48" i="1"/>
  <c r="W45" i="1"/>
  <c r="W44" i="1"/>
  <c r="W43" i="1"/>
  <c r="W41" i="1"/>
  <c r="W40" i="1"/>
  <c r="W37" i="1"/>
  <c r="W36" i="1"/>
  <c r="W33" i="1"/>
  <c r="W32" i="1"/>
  <c r="W31" i="1" s="1"/>
  <c r="W30" i="1"/>
  <c r="W29" i="1" s="1"/>
  <c r="W28" i="1"/>
  <c r="W27" i="1" s="1"/>
  <c r="W21" i="1"/>
  <c r="W20" i="1"/>
  <c r="W16" i="1"/>
  <c r="W15" i="1"/>
  <c r="W14" i="1"/>
  <c r="W13" i="1"/>
  <c r="W12" i="1"/>
  <c r="W11" i="1"/>
  <c r="W53" i="1"/>
  <c r="U28" i="1"/>
  <c r="U27" i="1" s="1"/>
  <c r="T27" i="1"/>
  <c r="T24" i="1"/>
  <c r="U24" i="1"/>
  <c r="R24" i="1"/>
  <c r="U12" i="1"/>
  <c r="R18" i="1"/>
  <c r="U21" i="1"/>
  <c r="R14" i="1"/>
  <c r="R12" i="1"/>
  <c r="R11" i="1"/>
  <c r="U58" i="1"/>
  <c r="U57" i="1"/>
  <c r="U55" i="1"/>
  <c r="U54" i="1"/>
  <c r="U53" i="1"/>
  <c r="U52" i="1"/>
  <c r="U51" i="1"/>
  <c r="U49" i="1"/>
  <c r="U48" i="1"/>
  <c r="U46" i="1"/>
  <c r="U45" i="1"/>
  <c r="U44" i="1"/>
  <c r="U43" i="1"/>
  <c r="U41" i="1"/>
  <c r="U40" i="1"/>
  <c r="U37" i="1"/>
  <c r="U36" i="1"/>
  <c r="U33" i="1"/>
  <c r="U32" i="1"/>
  <c r="U31" i="1" s="1"/>
  <c r="U30" i="1"/>
  <c r="U29" i="1" s="1"/>
  <c r="U20" i="1"/>
  <c r="U19" i="1"/>
  <c r="U18" i="1"/>
  <c r="U16" i="1"/>
  <c r="U15" i="1"/>
  <c r="U14" i="1"/>
  <c r="U13" i="1"/>
  <c r="R13" i="1" s="1"/>
  <c r="T50" i="1"/>
  <c r="T47" i="1"/>
  <c r="T42" i="1"/>
  <c r="T35" i="1"/>
  <c r="T34" i="1" s="1"/>
  <c r="T31" i="1"/>
  <c r="T29" i="1"/>
  <c r="T17" i="1"/>
  <c r="T9" i="1" s="1"/>
  <c r="T11" i="1"/>
  <c r="U11" i="1" s="1"/>
  <c r="S53" i="1"/>
  <c r="S50" i="1" s="1"/>
  <c r="S47" i="1"/>
  <c r="S42" i="1"/>
  <c r="S35" i="1"/>
  <c r="S34" i="1" s="1"/>
  <c r="S31" i="1"/>
  <c r="S29" i="1"/>
  <c r="S27" i="1"/>
  <c r="S24" i="1"/>
  <c r="S17" i="1"/>
  <c r="Y17" i="1"/>
  <c r="Y9" i="1" s="1"/>
  <c r="Y24" i="1"/>
  <c r="Y27" i="1"/>
  <c r="Y29" i="1"/>
  <c r="Y31" i="1"/>
  <c r="Y42" i="1"/>
  <c r="Y47" i="1"/>
  <c r="Y50" i="1"/>
  <c r="P54" i="1"/>
  <c r="AD42" i="1" l="1"/>
  <c r="AL30" i="1"/>
  <c r="AD29" i="1"/>
  <c r="AD24" i="1"/>
  <c r="AD50" i="1"/>
  <c r="AL48" i="1"/>
  <c r="AD47" i="1"/>
  <c r="AD35" i="1"/>
  <c r="AD34" i="1" s="1"/>
  <c r="AD22" i="1" s="1"/>
  <c r="AL32" i="1"/>
  <c r="AD31" i="1"/>
  <c r="AD17" i="1"/>
  <c r="AN57" i="1"/>
  <c r="AN11" i="1"/>
  <c r="AI19" i="1"/>
  <c r="AM19" i="1"/>
  <c r="AL19" i="1"/>
  <c r="AM33" i="1"/>
  <c r="AL33" i="1"/>
  <c r="AM46" i="1"/>
  <c r="AL46" i="1"/>
  <c r="AN56" i="1"/>
  <c r="AL56" i="1"/>
  <c r="AI11" i="1"/>
  <c r="AM11" i="1"/>
  <c r="AL11" i="1"/>
  <c r="AM20" i="1"/>
  <c r="AL20" i="1"/>
  <c r="AI36" i="1"/>
  <c r="AM36" i="1"/>
  <c r="AL36" i="1"/>
  <c r="AM10" i="1"/>
  <c r="AL10" i="1"/>
  <c r="AI37" i="1"/>
  <c r="AL37" i="1"/>
  <c r="AM37" i="1"/>
  <c r="AG25" i="1"/>
  <c r="AL25" i="1"/>
  <c r="AI51" i="1"/>
  <c r="AL51" i="1"/>
  <c r="AM51" i="1"/>
  <c r="AG13" i="1"/>
  <c r="AL13" i="1"/>
  <c r="AI14" i="1"/>
  <c r="AL14" i="1"/>
  <c r="AM14" i="1"/>
  <c r="AI26" i="1"/>
  <c r="AL26" i="1"/>
  <c r="AM26" i="1"/>
  <c r="AG52" i="1"/>
  <c r="AL52" i="1"/>
  <c r="AM52" i="1"/>
  <c r="AG49" i="1"/>
  <c r="AL49" i="1"/>
  <c r="AI15" i="1"/>
  <c r="AL15" i="1"/>
  <c r="AM15" i="1"/>
  <c r="AG28" i="1"/>
  <c r="AL28" i="1"/>
  <c r="AG43" i="1"/>
  <c r="AL43" i="1"/>
  <c r="AG53" i="1"/>
  <c r="AL53" i="1"/>
  <c r="AM53" i="1"/>
  <c r="AI18" i="1"/>
  <c r="AM18" i="1"/>
  <c r="AL18" i="1"/>
  <c r="AM12" i="1"/>
  <c r="AL12" i="1"/>
  <c r="AI16" i="1"/>
  <c r="AM16" i="1"/>
  <c r="AL16" i="1"/>
  <c r="AI54" i="1"/>
  <c r="AL54" i="1"/>
  <c r="AM54" i="1"/>
  <c r="AM45" i="1"/>
  <c r="AL45" i="1"/>
  <c r="AO12" i="1"/>
  <c r="AO10" i="1"/>
  <c r="AN14" i="1"/>
  <c r="AO41" i="1"/>
  <c r="AG11" i="1"/>
  <c r="AG26" i="1"/>
  <c r="AO32" i="1"/>
  <c r="AI10" i="1"/>
  <c r="AO33" i="1"/>
  <c r="AO46" i="1"/>
  <c r="AI28" i="1"/>
  <c r="AO45" i="1"/>
  <c r="AO20" i="1"/>
  <c r="AO48" i="1"/>
  <c r="AG10" i="1"/>
  <c r="AG19" i="1"/>
  <c r="AG51" i="1"/>
  <c r="AI12" i="1"/>
  <c r="AI20" i="1"/>
  <c r="AI32" i="1"/>
  <c r="AI52" i="1"/>
  <c r="AO13" i="1"/>
  <c r="AO36" i="1"/>
  <c r="AG15" i="1"/>
  <c r="AG18" i="1"/>
  <c r="AG54" i="1"/>
  <c r="AI13" i="1"/>
  <c r="AI33" i="1"/>
  <c r="AI43" i="1"/>
  <c r="AI53" i="1"/>
  <c r="AO14" i="1"/>
  <c r="AO37" i="1"/>
  <c r="AG14" i="1"/>
  <c r="AI45" i="1"/>
  <c r="AO15" i="1"/>
  <c r="AO26" i="1"/>
  <c r="AG16" i="1"/>
  <c r="AG45" i="1"/>
  <c r="AI25" i="1"/>
  <c r="AI46" i="1"/>
  <c r="AO16" i="1"/>
  <c r="AG12" i="1"/>
  <c r="AG46" i="1"/>
  <c r="AI49" i="1"/>
  <c r="AO18" i="1"/>
  <c r="AO19" i="1"/>
  <c r="AG20" i="1"/>
  <c r="AN46" i="1"/>
  <c r="AN53" i="1"/>
  <c r="AN37" i="1"/>
  <c r="U47" i="1"/>
  <c r="AN44" i="1"/>
  <c r="X23" i="1"/>
  <c r="AN10" i="1"/>
  <c r="U17" i="1"/>
  <c r="U9" i="1" s="1"/>
  <c r="AN12" i="1"/>
  <c r="AN21" i="1"/>
  <c r="AN40" i="1"/>
  <c r="AN58" i="1"/>
  <c r="W35" i="1"/>
  <c r="W34" i="1" s="1"/>
  <c r="AN41" i="1"/>
  <c r="AN52" i="1"/>
  <c r="U50" i="1"/>
  <c r="W24" i="1"/>
  <c r="W23" i="1" s="1"/>
  <c r="U42" i="1"/>
  <c r="AN20" i="1"/>
  <c r="AN54" i="1"/>
  <c r="AN45" i="1"/>
  <c r="AN30" i="1"/>
  <c r="T23" i="1"/>
  <c r="AN19" i="1"/>
  <c r="AN13" i="1"/>
  <c r="AN51" i="1"/>
  <c r="AN25" i="1"/>
  <c r="AN26" i="1"/>
  <c r="AN55" i="1"/>
  <c r="AN49" i="1"/>
  <c r="W47" i="1"/>
  <c r="AN48" i="1"/>
  <c r="W42" i="1"/>
  <c r="AN43" i="1"/>
  <c r="AN36" i="1"/>
  <c r="AN33" i="1"/>
  <c r="AN32" i="1"/>
  <c r="AN28" i="1"/>
  <c r="W17" i="1"/>
  <c r="W9" i="1" s="1"/>
  <c r="AN18" i="1"/>
  <c r="AN16" i="1"/>
  <c r="AN15" i="1"/>
  <c r="S23" i="1"/>
  <c r="U35" i="1"/>
  <c r="U34" i="1" s="1"/>
  <c r="W50" i="1"/>
  <c r="U23" i="1"/>
  <c r="Y23" i="1"/>
  <c r="AD23" i="1" l="1"/>
  <c r="Y22" i="1"/>
  <c r="T7" i="1"/>
  <c r="T8" i="1" s="1"/>
  <c r="T22" i="1"/>
  <c r="U22" i="1"/>
  <c r="X8" i="1"/>
  <c r="X22" i="1"/>
  <c r="W22" i="1"/>
  <c r="U7" i="1"/>
  <c r="U8" i="1" s="1"/>
  <c r="W8" i="1"/>
  <c r="T59" i="1"/>
  <c r="S7" i="1"/>
  <c r="S8" i="1" s="1"/>
  <c r="Y8" i="1"/>
  <c r="Y59" i="1"/>
  <c r="AF58" i="1"/>
  <c r="AF57" i="1"/>
  <c r="AF56" i="1"/>
  <c r="AF55" i="1"/>
  <c r="AF48" i="1"/>
  <c r="AF43" i="1"/>
  <c r="AF41" i="1"/>
  <c r="AF40" i="1"/>
  <c r="AF32" i="1"/>
  <c r="AF21" i="1"/>
  <c r="X59" i="1" l="1"/>
  <c r="V59" i="1"/>
  <c r="S59" i="1"/>
  <c r="U59" i="1"/>
  <c r="W59" i="1"/>
  <c r="AF44" i="1"/>
  <c r="AF19" i="1"/>
  <c r="AF45" i="1"/>
  <c r="AF30" i="1"/>
  <c r="AF54" i="1"/>
  <c r="AF11" i="1"/>
  <c r="AF20" i="1"/>
  <c r="AF33" i="1"/>
  <c r="AF46" i="1"/>
  <c r="AF12" i="1"/>
  <c r="AF18" i="1"/>
  <c r="AF36" i="1"/>
  <c r="AG36" i="1"/>
  <c r="AG37" i="1"/>
  <c r="AF37" i="1"/>
  <c r="AF49" i="1"/>
  <c r="AF16" i="1"/>
  <c r="AF13" i="1"/>
  <c r="AF14" i="1"/>
  <c r="AF26" i="1"/>
  <c r="AF51" i="1"/>
  <c r="AF10" i="1"/>
  <c r="AF25" i="1"/>
  <c r="AF15" i="1"/>
  <c r="AF28" i="1"/>
  <c r="AF52" i="1"/>
  <c r="AF53" i="1"/>
  <c r="P10" i="1" l="1"/>
  <c r="R10" i="1"/>
  <c r="P40" i="1"/>
  <c r="P37" i="1"/>
  <c r="P36" i="1"/>
  <c r="AL27" i="1"/>
  <c r="AH28" i="1"/>
  <c r="AE28" i="1"/>
  <c r="AE26" i="1"/>
  <c r="AE25" i="1"/>
  <c r="AK27" i="1"/>
  <c r="AK24" i="1"/>
  <c r="R28" i="1"/>
  <c r="R26" i="1"/>
  <c r="R25" i="1"/>
  <c r="P27" i="1"/>
  <c r="P24" i="1"/>
  <c r="AL24" i="1" l="1"/>
  <c r="AM24" i="1"/>
  <c r="AI27" i="1"/>
  <c r="AG27" i="1"/>
  <c r="AI24" i="1"/>
  <c r="AO24" i="1"/>
  <c r="AG24" i="1"/>
  <c r="AN27" i="1"/>
  <c r="AF27" i="1"/>
  <c r="AN24" i="1"/>
  <c r="AF24" i="1"/>
  <c r="AH26" i="1"/>
  <c r="AE24" i="1"/>
  <c r="AH25" i="1"/>
  <c r="AH24" i="1" l="1"/>
  <c r="AJ27" i="1"/>
  <c r="AH27" i="1"/>
  <c r="AJ24" i="1"/>
  <c r="AE56" i="1" l="1"/>
  <c r="AH56" i="1"/>
  <c r="AK56" i="1"/>
  <c r="AM50" i="1" l="1"/>
  <c r="AL50" i="1"/>
  <c r="AG50" i="1"/>
  <c r="AI50" i="1"/>
  <c r="AN50" i="1"/>
  <c r="AF50" i="1"/>
  <c r="AJ56" i="1"/>
  <c r="K10" i="1"/>
  <c r="M10" i="1"/>
  <c r="K11" i="1"/>
  <c r="M11" i="1"/>
  <c r="P11" i="1"/>
  <c r="K12" i="1"/>
  <c r="M12" i="1"/>
  <c r="P12" i="1"/>
  <c r="K13" i="1"/>
  <c r="M13" i="1"/>
  <c r="P13" i="1"/>
  <c r="K14" i="1"/>
  <c r="M14" i="1"/>
  <c r="P14" i="1"/>
  <c r="K15" i="1"/>
  <c r="M15" i="1"/>
  <c r="P15" i="1"/>
  <c r="K16" i="1"/>
  <c r="M16" i="1"/>
  <c r="P16" i="1"/>
  <c r="R40" i="1" l="1"/>
  <c r="R37" i="1"/>
  <c r="R36" i="1"/>
  <c r="R35" i="1" l="1"/>
  <c r="AE40" i="1"/>
  <c r="AE37" i="1"/>
  <c r="AE36" i="1"/>
  <c r="AH40" i="1"/>
  <c r="P35" i="1"/>
  <c r="AM35" i="1" l="1"/>
  <c r="AL35" i="1"/>
  <c r="AO35" i="1"/>
  <c r="AI35" i="1"/>
  <c r="AN35" i="1"/>
  <c r="AF35" i="1"/>
  <c r="AH36" i="1"/>
  <c r="AH37" i="1"/>
  <c r="AH35" i="1" l="1"/>
  <c r="AL31" i="1"/>
  <c r="AI31" i="1" l="1"/>
  <c r="AO31" i="1"/>
  <c r="AN31" i="1"/>
  <c r="AF31" i="1"/>
  <c r="R46" i="1"/>
  <c r="R16" i="1" l="1"/>
  <c r="R19" i="1"/>
  <c r="R20" i="1"/>
  <c r="R27" i="1"/>
  <c r="R32" i="1"/>
  <c r="R41" i="1"/>
  <c r="R44" i="1"/>
  <c r="R45" i="1"/>
  <c r="R49" i="1"/>
  <c r="R48" i="1"/>
  <c r="R52" i="1"/>
  <c r="R53" i="1"/>
  <c r="R15" i="1"/>
  <c r="R34" i="1" l="1"/>
  <c r="AH21" i="1" l="1"/>
  <c r="L47" i="1" l="1"/>
  <c r="AH53" i="1" l="1"/>
  <c r="AK59" i="1" l="1"/>
  <c r="AR58" i="1"/>
  <c r="AK58" i="1"/>
  <c r="AJ58" i="1"/>
  <c r="AH58" i="1"/>
  <c r="AE58" i="1"/>
  <c r="R58" i="1"/>
  <c r="P58" i="1"/>
  <c r="M58" i="1"/>
  <c r="AP58" i="1" s="1"/>
  <c r="K58" i="1"/>
  <c r="AR57" i="1"/>
  <c r="AK57" i="1"/>
  <c r="AJ57" i="1"/>
  <c r="AH57" i="1"/>
  <c r="AE57" i="1"/>
  <c r="R57" i="1"/>
  <c r="P57" i="1"/>
  <c r="M57" i="1"/>
  <c r="AP57" i="1" s="1"/>
  <c r="K57" i="1"/>
  <c r="AR55" i="1"/>
  <c r="AQ55" i="1"/>
  <c r="AP55" i="1"/>
  <c r="AK55" i="1"/>
  <c r="AJ55" i="1"/>
  <c r="AH55" i="1"/>
  <c r="AE55" i="1"/>
  <c r="R55" i="1"/>
  <c r="P55" i="1"/>
  <c r="K55" i="1"/>
  <c r="AR54" i="1"/>
  <c r="AK54" i="1"/>
  <c r="AJ54" i="1"/>
  <c r="AH54" i="1"/>
  <c r="AE54" i="1"/>
  <c r="R54" i="1"/>
  <c r="M54" i="1"/>
  <c r="AP54" i="1" s="1"/>
  <c r="K54" i="1"/>
  <c r="AR53" i="1"/>
  <c r="AK53" i="1"/>
  <c r="AJ53" i="1"/>
  <c r="AE53" i="1"/>
  <c r="P53" i="1"/>
  <c r="M53" i="1"/>
  <c r="AP53" i="1" s="1"/>
  <c r="K53" i="1"/>
  <c r="AR52" i="1"/>
  <c r="AK52" i="1"/>
  <c r="AJ52" i="1"/>
  <c r="AH52" i="1"/>
  <c r="AE52" i="1"/>
  <c r="P52" i="1"/>
  <c r="M52" i="1"/>
  <c r="AP52" i="1" s="1"/>
  <c r="K52" i="1"/>
  <c r="AK51" i="1"/>
  <c r="AJ51" i="1"/>
  <c r="AH51" i="1"/>
  <c r="AE51" i="1"/>
  <c r="R51" i="1"/>
  <c r="P51" i="1"/>
  <c r="M51" i="1"/>
  <c r="AQ51" i="1" s="1"/>
  <c r="K51" i="1"/>
  <c r="AK50" i="1"/>
  <c r="O50" i="1"/>
  <c r="N50" i="1"/>
  <c r="L50" i="1"/>
  <c r="J50" i="1"/>
  <c r="AR49" i="1"/>
  <c r="AK49" i="1"/>
  <c r="AJ49" i="1"/>
  <c r="AH49" i="1"/>
  <c r="AE49" i="1"/>
  <c r="P49" i="1"/>
  <c r="M49" i="1"/>
  <c r="AP49" i="1" s="1"/>
  <c r="K49" i="1"/>
  <c r="AK48" i="1"/>
  <c r="AE48" i="1"/>
  <c r="P48" i="1"/>
  <c r="M48" i="1"/>
  <c r="AP48" i="1" s="1"/>
  <c r="K48" i="1"/>
  <c r="AK47" i="1"/>
  <c r="AL47" i="1"/>
  <c r="O47" i="1"/>
  <c r="N47" i="1"/>
  <c r="J47" i="1"/>
  <c r="AR46" i="1"/>
  <c r="AK46" i="1"/>
  <c r="AJ46" i="1"/>
  <c r="AH46" i="1"/>
  <c r="AE46" i="1"/>
  <c r="O46" i="1"/>
  <c r="P46" i="1" s="1"/>
  <c r="M46" i="1"/>
  <c r="AQ46" i="1" s="1"/>
  <c r="K46" i="1"/>
  <c r="AR45" i="1"/>
  <c r="AK45" i="1"/>
  <c r="AJ45" i="1"/>
  <c r="AH45" i="1"/>
  <c r="AE45" i="1"/>
  <c r="P45" i="1"/>
  <c r="M45" i="1"/>
  <c r="AP45" i="1" s="1"/>
  <c r="K45" i="1"/>
  <c r="AR44" i="1"/>
  <c r="AK44" i="1"/>
  <c r="AJ44" i="1"/>
  <c r="AH44" i="1"/>
  <c r="AE44" i="1"/>
  <c r="P44" i="1"/>
  <c r="M44" i="1"/>
  <c r="AP44" i="1" s="1"/>
  <c r="K44" i="1"/>
  <c r="AR43" i="1"/>
  <c r="AK43" i="1"/>
  <c r="AJ43" i="1"/>
  <c r="AH43" i="1"/>
  <c r="AE43" i="1"/>
  <c r="R43" i="1"/>
  <c r="P43" i="1"/>
  <c r="M43" i="1"/>
  <c r="AP43" i="1" s="1"/>
  <c r="K43" i="1"/>
  <c r="AK42" i="1"/>
  <c r="AL42" i="1"/>
  <c r="O42" i="1"/>
  <c r="N42" i="1"/>
  <c r="L42" i="1"/>
  <c r="J42" i="1"/>
  <c r="AR41" i="1"/>
  <c r="AK41" i="1"/>
  <c r="AJ41" i="1"/>
  <c r="AH41" i="1"/>
  <c r="AE41" i="1"/>
  <c r="P41" i="1"/>
  <c r="M41" i="1"/>
  <c r="AQ41" i="1" s="1"/>
  <c r="K41" i="1"/>
  <c r="AR35" i="1"/>
  <c r="AK35" i="1"/>
  <c r="AJ35" i="1"/>
  <c r="AE35" i="1"/>
  <c r="M35" i="1"/>
  <c r="AQ35" i="1" s="1"/>
  <c r="K35" i="1"/>
  <c r="AK34" i="1"/>
  <c r="O34" i="1"/>
  <c r="N34" i="1"/>
  <c r="L34" i="1"/>
  <c r="J34" i="1"/>
  <c r="AK33" i="1"/>
  <c r="AJ33" i="1"/>
  <c r="AH33" i="1"/>
  <c r="AE33" i="1"/>
  <c r="R33" i="1"/>
  <c r="P33" i="1"/>
  <c r="M33" i="1"/>
  <c r="AQ33" i="1" s="1"/>
  <c r="K33" i="1"/>
  <c r="AR32" i="1"/>
  <c r="AR31" i="1" s="1"/>
  <c r="AK32" i="1"/>
  <c r="AJ32" i="1"/>
  <c r="AH32" i="1"/>
  <c r="AE32" i="1"/>
  <c r="P32" i="1"/>
  <c r="P31" i="1" s="1"/>
  <c r="M32" i="1"/>
  <c r="AQ32" i="1" s="1"/>
  <c r="K32" i="1"/>
  <c r="K31" i="1" s="1"/>
  <c r="AK31" i="1"/>
  <c r="AE31" i="1"/>
  <c r="AH31" i="1"/>
  <c r="O31" i="1"/>
  <c r="N31" i="1"/>
  <c r="L31" i="1"/>
  <c r="J31" i="1"/>
  <c r="AR30" i="1"/>
  <c r="AK30" i="1"/>
  <c r="AJ30" i="1"/>
  <c r="AH30" i="1"/>
  <c r="AE30" i="1"/>
  <c r="R30" i="1"/>
  <c r="O30" i="1"/>
  <c r="O29" i="1" s="1"/>
  <c r="M30" i="1"/>
  <c r="AP30" i="1" s="1"/>
  <c r="K30" i="1"/>
  <c r="K29" i="1" s="1"/>
  <c r="AK29" i="1"/>
  <c r="N29" i="1"/>
  <c r="L29" i="1"/>
  <c r="J29" i="1"/>
  <c r="AE27" i="1"/>
  <c r="AR27" i="1"/>
  <c r="M27" i="1"/>
  <c r="AQ27" i="1" s="1"/>
  <c r="K27" i="1"/>
  <c r="AR24" i="1"/>
  <c r="M24" i="1"/>
  <c r="AQ24" i="1" s="1"/>
  <c r="K24" i="1"/>
  <c r="AK23" i="1"/>
  <c r="AR20" i="1"/>
  <c r="AK20" i="1"/>
  <c r="AJ20" i="1"/>
  <c r="AH20" i="1"/>
  <c r="AE20" i="1"/>
  <c r="P20" i="1"/>
  <c r="M20" i="1"/>
  <c r="AP20" i="1" s="1"/>
  <c r="K20" i="1"/>
  <c r="AR19" i="1"/>
  <c r="AK19" i="1"/>
  <c r="AJ19" i="1"/>
  <c r="AE19" i="1"/>
  <c r="P19" i="1"/>
  <c r="M19" i="1"/>
  <c r="K19" i="1"/>
  <c r="AK18" i="1"/>
  <c r="AH18" i="1"/>
  <c r="AR18" i="1"/>
  <c r="AE18" i="1"/>
  <c r="P18" i="1"/>
  <c r="M18" i="1"/>
  <c r="AQ18" i="1" s="1"/>
  <c r="K18" i="1"/>
  <c r="AK17" i="1"/>
  <c r="O17" i="1"/>
  <c r="N17" i="1"/>
  <c r="L17" i="1"/>
  <c r="J17" i="1"/>
  <c r="AK16" i="1"/>
  <c r="AJ16" i="1"/>
  <c r="AH16" i="1"/>
  <c r="AE16" i="1"/>
  <c r="AQ16" i="1"/>
  <c r="AR15" i="1"/>
  <c r="AK15" i="1"/>
  <c r="AJ15" i="1"/>
  <c r="AH15" i="1"/>
  <c r="AE15" i="1"/>
  <c r="AQ15" i="1"/>
  <c r="AR14" i="1"/>
  <c r="AK14" i="1"/>
  <c r="AJ14" i="1"/>
  <c r="AH14" i="1"/>
  <c r="AE14" i="1"/>
  <c r="AQ14" i="1"/>
  <c r="AR13" i="1"/>
  <c r="AK13" i="1"/>
  <c r="AJ13" i="1"/>
  <c r="AH13" i="1"/>
  <c r="AE13" i="1"/>
  <c r="AQ13" i="1"/>
  <c r="AR12" i="1"/>
  <c r="AK12" i="1"/>
  <c r="AJ12" i="1"/>
  <c r="AH12" i="1"/>
  <c r="AE12" i="1"/>
  <c r="AQ12" i="1"/>
  <c r="AK11" i="1"/>
  <c r="AJ11" i="1"/>
  <c r="AH11" i="1"/>
  <c r="AE11" i="1"/>
  <c r="AP11" i="1"/>
  <c r="AR10" i="1"/>
  <c r="AK10" i="1"/>
  <c r="AJ10" i="1"/>
  <c r="AH10" i="1"/>
  <c r="AE10" i="1"/>
  <c r="AP10" i="1"/>
  <c r="AK7" i="1"/>
  <c r="AM34" i="1" l="1"/>
  <c r="AL34" i="1"/>
  <c r="AO34" i="1"/>
  <c r="AI34" i="1"/>
  <c r="AG42" i="1"/>
  <c r="AI42" i="1"/>
  <c r="AO47" i="1"/>
  <c r="AG47" i="1"/>
  <c r="AI47" i="1"/>
  <c r="AE29" i="1"/>
  <c r="AL29" i="1"/>
  <c r="AN42" i="1"/>
  <c r="AF42" i="1"/>
  <c r="AN47" i="1"/>
  <c r="AF47" i="1"/>
  <c r="AN34" i="1"/>
  <c r="AF34" i="1"/>
  <c r="AR29" i="1"/>
  <c r="AR23" i="1" s="1"/>
  <c r="K47" i="1"/>
  <c r="K42" i="1"/>
  <c r="AR34" i="1"/>
  <c r="AR42" i="1"/>
  <c r="P47" i="1"/>
  <c r="AE47" i="1"/>
  <c r="M42" i="1"/>
  <c r="AQ42" i="1" s="1"/>
  <c r="P17" i="1"/>
  <c r="J23" i="1"/>
  <c r="J7" i="1" s="1"/>
  <c r="J59" i="1" s="1"/>
  <c r="N23" i="1"/>
  <c r="N7" i="1" s="1"/>
  <c r="N59" i="1" s="1"/>
  <c r="O23" i="1"/>
  <c r="O7" i="1" s="1"/>
  <c r="K50" i="1"/>
  <c r="K17" i="1"/>
  <c r="P34" i="1"/>
  <c r="R42" i="1"/>
  <c r="AQ57" i="1"/>
  <c r="AH50" i="1"/>
  <c r="AQ58" i="1"/>
  <c r="M50" i="1"/>
  <c r="AP50" i="1" s="1"/>
  <c r="AQ45" i="1"/>
  <c r="M34" i="1"/>
  <c r="AP34" i="1" s="1"/>
  <c r="K23" i="1"/>
  <c r="P50" i="1"/>
  <c r="AQ52" i="1"/>
  <c r="AR50" i="1"/>
  <c r="L23" i="1"/>
  <c r="L7" i="1" s="1"/>
  <c r="L59" i="1" s="1"/>
  <c r="P30" i="1"/>
  <c r="P29" i="1" s="1"/>
  <c r="P23" i="1" s="1"/>
  <c r="AQ44" i="1"/>
  <c r="AQ54" i="1"/>
  <c r="M29" i="1"/>
  <c r="AQ29" i="1" s="1"/>
  <c r="R31" i="1"/>
  <c r="AP18" i="1"/>
  <c r="AP33" i="1"/>
  <c r="P42" i="1"/>
  <c r="R47" i="1"/>
  <c r="AH29" i="1"/>
  <c r="AQ43" i="1"/>
  <c r="AP46" i="1"/>
  <c r="AQ53" i="1"/>
  <c r="M47" i="1"/>
  <c r="AQ49" i="1"/>
  <c r="AR17" i="1"/>
  <c r="AE34" i="1"/>
  <c r="AE22" i="1"/>
  <c r="AE42" i="1"/>
  <c r="R17" i="1"/>
  <c r="M31" i="1"/>
  <c r="AP32" i="1"/>
  <c r="M17" i="1"/>
  <c r="AQ19" i="1"/>
  <c r="AP19" i="1"/>
  <c r="AH19" i="1"/>
  <c r="AP24" i="1"/>
  <c r="R29" i="1"/>
  <c r="K34" i="1"/>
  <c r="AR48" i="1"/>
  <c r="AR47" i="1" s="1"/>
  <c r="AP51" i="1"/>
  <c r="AQ10" i="1"/>
  <c r="AQ11" i="1"/>
  <c r="AE9" i="1"/>
  <c r="AQ20" i="1"/>
  <c r="AP27" i="1"/>
  <c r="AQ30" i="1"/>
  <c r="AJ34" i="1"/>
  <c r="AH42" i="1"/>
  <c r="AQ48" i="1"/>
  <c r="AE50" i="1"/>
  <c r="AP12" i="1"/>
  <c r="AP13" i="1"/>
  <c r="AP14" i="1"/>
  <c r="AP15" i="1"/>
  <c r="AP16" i="1"/>
  <c r="AH34" i="1"/>
  <c r="AP35" i="1"/>
  <c r="AP41" i="1"/>
  <c r="AJ42" i="1"/>
  <c r="R50" i="1"/>
  <c r="AJ48" i="1"/>
  <c r="AJ18" i="1"/>
  <c r="AJ31" i="1"/>
  <c r="AH48" i="1"/>
  <c r="AJ50" i="1"/>
  <c r="AJ29" i="1" l="1"/>
  <c r="AN29" i="1"/>
  <c r="AF29" i="1"/>
  <c r="AE23" i="1"/>
  <c r="AN17" i="1"/>
  <c r="R23" i="1"/>
  <c r="P7" i="1"/>
  <c r="P8" i="1" s="1"/>
  <c r="O59" i="1"/>
  <c r="O8" i="1"/>
  <c r="Q59" i="1"/>
  <c r="AP42" i="1"/>
  <c r="K7" i="1"/>
  <c r="K59" i="1" s="1"/>
  <c r="AQ50" i="1"/>
  <c r="AQ34" i="1"/>
  <c r="AR7" i="1"/>
  <c r="AR59" i="1" s="1"/>
  <c r="AP29" i="1"/>
  <c r="AE17" i="1"/>
  <c r="AP47" i="1"/>
  <c r="AH47" i="1"/>
  <c r="AJ47" i="1"/>
  <c r="AQ47" i="1"/>
  <c r="AQ31" i="1"/>
  <c r="AP31" i="1"/>
  <c r="M23" i="1"/>
  <c r="AP17" i="1"/>
  <c r="AM22" i="1" l="1"/>
  <c r="AL22" i="1"/>
  <c r="AF22" i="1"/>
  <c r="AJ22" i="1"/>
  <c r="AI22" i="1"/>
  <c r="AH22" i="1"/>
  <c r="AG22" i="1"/>
  <c r="AN22" i="1"/>
  <c r="AO22" i="1"/>
  <c r="AH17" i="1"/>
  <c r="AD9" i="1"/>
  <c r="AD7" i="1" s="1"/>
  <c r="AD8" i="1" s="1"/>
  <c r="AQ17" i="1"/>
  <c r="AL23" i="1"/>
  <c r="AM23" i="1"/>
  <c r="AM17" i="1"/>
  <c r="AL17" i="1"/>
  <c r="AJ23" i="1"/>
  <c r="AG23" i="1"/>
  <c r="AI23" i="1"/>
  <c r="AO23" i="1"/>
  <c r="AI17" i="1"/>
  <c r="AO17" i="1"/>
  <c r="AG17" i="1"/>
  <c r="AF17" i="1"/>
  <c r="AJ17" i="1"/>
  <c r="AH23" i="1"/>
  <c r="AQ23" i="1"/>
  <c r="AN23" i="1"/>
  <c r="AF23" i="1"/>
  <c r="AE7" i="1"/>
  <c r="P59" i="1"/>
  <c r="M7" i="1"/>
  <c r="R7" i="1"/>
  <c r="R8" i="1" s="1"/>
  <c r="AP23" i="1"/>
  <c r="AB59" i="1"/>
  <c r="AI9" i="1" l="1"/>
  <c r="AH9" i="1"/>
  <c r="AL9" i="1"/>
  <c r="AM9" i="1"/>
  <c r="AO9" i="1"/>
  <c r="AN9" i="1"/>
  <c r="AM7" i="1"/>
  <c r="AL7" i="1"/>
  <c r="AL8" i="1"/>
  <c r="AM8" i="1"/>
  <c r="AO7" i="1"/>
  <c r="AI7" i="1"/>
  <c r="AO8" i="1"/>
  <c r="AI8" i="1"/>
  <c r="AJ7" i="1"/>
  <c r="AE8" i="1"/>
  <c r="AN8" i="1"/>
  <c r="AH8" i="1"/>
  <c r="AG8" i="1"/>
  <c r="AF8" i="1"/>
  <c r="AD59" i="1"/>
  <c r="AH7" i="1"/>
  <c r="AN7" i="1"/>
  <c r="AG7" i="1"/>
  <c r="AF7" i="1"/>
  <c r="AP7" i="1"/>
  <c r="AE59" i="1"/>
  <c r="R59" i="1"/>
  <c r="AQ7" i="1"/>
  <c r="M59" i="1"/>
  <c r="AL59" i="1" l="1"/>
  <c r="AM59" i="1"/>
  <c r="AO59" i="1"/>
  <c r="AI59" i="1"/>
  <c r="AH59" i="1"/>
  <c r="AN59" i="1"/>
  <c r="AG59" i="1"/>
  <c r="AF59" i="1"/>
  <c r="AJ59" i="1"/>
  <c r="AQ59" i="1"/>
  <c r="AP59" i="1"/>
</calcChain>
</file>

<file path=xl/sharedStrings.xml><?xml version="1.0" encoding="utf-8"?>
<sst xmlns="http://schemas.openxmlformats.org/spreadsheetml/2006/main" count="122" uniqueCount="96">
  <si>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</si>
  <si>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</si>
  <si>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</si>
  <si>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</si>
  <si>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</si>
  <si>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</si>
  <si>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</si>
  <si>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</si>
  <si>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</si>
  <si>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</si>
  <si>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</si>
  <si>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</si>
  <si>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</si>
  <si>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</si>
  <si>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</si>
  <si>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</si>
  <si>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</si>
  <si>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</si>
  <si>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</si>
  <si>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</si>
  <si>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</si>
  <si>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</si>
  <si>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</si>
  <si>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</si>
  <si>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</si>
  <si>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</si>
  <si>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</si>
  <si>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</si>
  <si>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</si>
  <si>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</si>
  <si>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</si>
  <si>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</si>
  <si>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</si>
  <si>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</si>
  <si>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</si>
  <si>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</si>
  <si>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</si>
  <si>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</si>
  <si>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</si>
  <si>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</si>
  <si>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</si>
  <si>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</si>
  <si>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</si>
  <si>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</si>
  <si>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</si>
  <si>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</si>
  <si>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</si>
  <si>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</si>
  <si>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</si>
  <si>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</si>
  <si>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</si>
  <si>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</si>
  <si>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</si>
  <si>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</si>
  <si>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</si>
  <si>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</si>
  <si>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</si>
  <si>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</si>
  <si>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</si>
  <si>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</si>
  <si>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</si>
  <si>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</si>
  <si>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</si>
  <si>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</si>
  <si>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601 1 13 01994 04 2000 130</t>
  </si>
  <si>
    <t>606 1 13 01994 04 2000 130</t>
  </si>
  <si>
    <t>644 1 13 01994 04 2000 130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</si>
  <si>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</si>
  <si>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</si>
  <si>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</si>
  <si>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</si>
  <si>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602 Управление имущественных и земельных отношений АБГО СК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</si>
  <si>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</si>
  <si>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</si>
  <si>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</si>
  <si>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в т.ч. 011 Министерство имущественных отношений Ставропольского края</t>
  </si>
  <si>
    <t>План по доходам с учетом изменений на 2022 г</t>
  </si>
  <si>
    <t>ФАКТ за 2022 г</t>
  </si>
  <si>
    <t>План по доходам на 2023 г (первоначальный)</t>
  </si>
  <si>
    <t>План по доходам на 2023 г (уточненный)</t>
  </si>
  <si>
    <t>откл.+- от уточненного годового плана 2023 г</t>
  </si>
  <si>
    <t>откл.+- от первоначального годового плана 2023 г</t>
  </si>
  <si>
    <t>607 1 13 01994 04 2000 130</t>
  </si>
  <si>
    <t>611 1 13 01994 04 2000 130</t>
  </si>
  <si>
    <r>
      <t xml:space="preserve">ФАКТ за 2022 г (в сопоставимых условиях 2023 года)    </t>
    </r>
    <r>
      <rPr>
        <b/>
        <sz val="14"/>
        <rFont val="Times New Roman"/>
        <family val="1"/>
        <charset val="204"/>
      </rPr>
      <t xml:space="preserve"> (30,38%)</t>
    </r>
  </si>
  <si>
    <t>НАЛОГОВЫЕ ДОХОДЫ, в т.ч.:</t>
  </si>
  <si>
    <t>НЕНАЛОГОВЫЕ ДОХОДЫ, в т.ч.:</t>
  </si>
  <si>
    <r>
      <t xml:space="preserve">Исполнение с 01.01.2023 по 02.03.2023
</t>
    </r>
    <r>
      <rPr>
        <b/>
        <sz val="14"/>
        <rFont val="Times New Roman"/>
        <family val="1"/>
        <charset val="204"/>
      </rPr>
      <t>(31,84%)</t>
    </r>
  </si>
  <si>
    <t>откл.+- от плана за 3 месяц 2023 года</t>
  </si>
  <si>
    <t>Исполнено по 09.03.2022 год</t>
  </si>
  <si>
    <r>
      <t>Исполнено по 09.03.2022 год (в сопоставимых условиях 2023 года)</t>
    </r>
    <r>
      <rPr>
        <b/>
        <sz val="14"/>
        <rFont val="Times New Roman"/>
        <family val="1"/>
        <charset val="204"/>
      </rPr>
      <t xml:space="preserve">     (30,38%)</t>
    </r>
  </si>
  <si>
    <t>с 22.02.2023 по 02.03.2023 (неделя) П</t>
  </si>
  <si>
    <t>с 03.03.2023 по 09.03.2023 (неделя) Т</t>
  </si>
  <si>
    <r>
      <t xml:space="preserve">Исполнение с 01.01.2023 по 09.03.2023
</t>
    </r>
    <r>
      <rPr>
        <b/>
        <sz val="14"/>
        <rFont val="Times New Roman"/>
        <family val="1"/>
        <charset val="204"/>
      </rPr>
      <t>(31,84%)</t>
    </r>
  </si>
  <si>
    <t>Исполнение бюджета Благодарненского городского округа Ставропольского края по доходам по состоянию на 09.03.2023 года</t>
  </si>
  <si>
    <t>откл.+- от исполнения на 09.03.2022 г  (в сопоставимых условиях 2023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</si>
</sst>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</cellStyleXfs>
  <cellXfs count="118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0" fontId="4" fillId="4" borderId="1" xfId="1" applyFont="1" applyFill="1" applyBorder="1" applyAlignment="1" applyProtection="1">
      <alignment horizontal="left" wrapText="1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4" xfId="1" applyNumberFormat="1" applyFont="1" applyBorder="1" applyAlignment="1" applyProtection="1">
      <alignment horizontal="right"/>
      <protection hidden="1"/>
    </xf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4" fontId="4" fillId="0" borderId="0" xfId="1" applyNumberFormat="1" applyFont="1" applyAlignment="1" applyProtection="1">
      <alignment horizontal="right"/>
      <protection hidden="1"/>
    </xf>
    <xf numFmtId="164" fontId="4" fillId="0" borderId="4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164" fontId="4" fillId="3" borderId="0" xfId="1" applyNumberFormat="1" applyFont="1" applyFill="1" applyAlignment="1" applyProtection="1">
      <alignment horizontal="right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4" fillId="4" borderId="1" xfId="1" applyFont="1" applyFill="1" applyBorder="1" applyAlignment="1" applyProtection="1">
      <alignment horizontal="left" vertical="top" wrapText="1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4" fontId="4" fillId="0" borderId="0" xfId="1" applyNumberFormat="1" applyFont="1" applyProtection="1">
      <protection hidden="1"/>
    </xf>
    <xf numFmtId="4" fontId="4" fillId="0" borderId="0" xfId="1" applyNumberFormat="1" applyFont="1"/>
    <xf numFmtId="2" fontId="4" fillId="0" borderId="0" xfId="1" applyNumberFormat="1" applyFont="1"/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5" xfId="1" applyFont="1" applyBorder="1" applyAlignment="1" applyProtection="1">
      <alignment vertical="center"/>
      <protection hidden="1"/>
    </xf>
    <xf numFmtId="4" fontId="5" fillId="3" borderId="5" xfId="1" applyNumberFormat="1" applyFont="1" applyFill="1" applyBorder="1" applyAlignment="1" applyProtection="1">
      <alignment vertical="center"/>
      <protection hidden="1"/>
    </xf>
    <xf numFmtId="4" fontId="5" fillId="0" borderId="5" xfId="1" applyNumberFormat="1" applyFont="1" applyBorder="1" applyAlignment="1" applyProtection="1">
      <alignment vertical="center"/>
      <protection hidden="1"/>
    </xf>
    <xf numFmtId="165" fontId="5" fillId="0" borderId="5" xfId="1" applyNumberFormat="1" applyFont="1" applyBorder="1" applyAlignment="1" applyProtection="1">
      <alignment vertical="center"/>
      <protection hidden="1"/>
    </xf>
    <xf numFmtId="165" fontId="5" fillId="0" borderId="0" xfId="1" applyNumberFormat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4" fontId="4" fillId="0" borderId="0" xfId="1" applyNumberFormat="1" applyFont="1" applyAlignment="1">
      <alignment horizontal="center"/>
    </xf>
    <xf numFmtId="0" fontId="4" fillId="0" borderId="1" xfId="1" applyFont="1" applyBorder="1" applyAlignment="1" applyProtection="1">
      <alignment horizontal="left" vertical="top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4" fillId="0" borderId="0" xfId="1" applyFont="1" applyAlignment="1" applyProtection="1">
      <alignment vertical="center"/>
      <protection hidden="1"/>
    </xf>
    <xf numFmtId="0" fontId="19" fillId="0" borderId="0" xfId="1" applyFont="1" applyAlignment="1" applyProtection="1">
      <alignment horizontal="center" vertical="center"/>
      <protection hidden="1"/>
    </xf>
    <xf numFmtId="0" fontId="4" fillId="3" borderId="11" xfId="1" applyFont="1" applyFill="1" applyBorder="1" applyAlignment="1" applyProtection="1">
      <alignment horizontal="center" vertical="center" wrapText="1"/>
      <protection hidden="1"/>
    </xf>
    <xf numFmtId="0" fontId="4" fillId="3" borderId="12" xfId="1" applyFont="1" applyFill="1" applyBorder="1" applyAlignment="1" applyProtection="1">
      <alignment horizontal="center" vertical="center" wrapText="1"/>
      <protection hidden="1"/>
    </xf>
    <xf numFmtId="0" fontId="4" fillId="3" borderId="13" xfId="1" applyFont="1" applyFill="1" applyBorder="1" applyAlignment="1" applyProtection="1">
      <alignment horizontal="center" vertical="center" wrapText="1"/>
      <protection hidden="1"/>
    </xf>
    <xf numFmtId="0" fontId="4" fillId="3" borderId="14" xfId="1" applyFont="1" applyFill="1" applyBorder="1" applyAlignment="1" applyProtection="1">
      <alignment horizontal="center" vertical="center" wrapText="1"/>
      <protection hidden="1"/>
    </xf>
  </cellXfs>
  <cellStyles count="23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72"/>
  <sheetViews>
    <sheetView showGridLines="0" tabSelected="1" view="pageBreakPreview" zoomScale="70" zoomScaleNormal="68" zoomScaleSheetLayoutView="70"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AN3" sqref="AN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22.140625" style="1" hidden="1" customWidth="1"/>
    <col min="18" max="18" width="25.42578125" style="1" hidden="1" customWidth="1"/>
    <col min="19" max="19" width="27.28515625" style="1" hidden="1" customWidth="1"/>
    <col min="20" max="20" width="25.5703125" style="1" hidden="1" customWidth="1"/>
    <col min="21" max="21" width="25.42578125" style="1" customWidth="1"/>
    <col min="22" max="22" width="21.42578125" style="1" hidden="1" customWidth="1"/>
    <col min="23" max="23" width="23.42578125" style="1" customWidth="1"/>
    <col min="24" max="24" width="17" style="1" hidden="1" customWidth="1"/>
    <col min="25" max="25" width="23.140625" style="1" customWidth="1"/>
    <col min="26" max="26" width="21.7109375" style="1" hidden="1" customWidth="1"/>
    <col min="27" max="27" width="21.140625" style="1" hidden="1" customWidth="1"/>
    <col min="28" max="28" width="21.42578125" style="1" hidden="1" customWidth="1"/>
    <col min="29" max="29" width="22.5703125" style="1" hidden="1" customWidth="1"/>
    <col min="30" max="30" width="23.85546875" style="1" customWidth="1"/>
    <col min="31" max="31" width="20.85546875" style="1" hidden="1" customWidth="1"/>
    <col min="32" max="32" width="23.42578125" style="1" hidden="1" customWidth="1"/>
    <col min="33" max="33" width="12" style="1" hidden="1" customWidth="1"/>
    <col min="34" max="34" width="22.85546875" style="1" customWidth="1"/>
    <col min="35" max="35" width="14" style="1" customWidth="1"/>
    <col min="36" max="36" width="9.42578125" style="1" hidden="1" customWidth="1"/>
    <col min="37" max="37" width="16.5703125" style="1" hidden="1" customWidth="1"/>
    <col min="38" max="38" width="23.42578125" style="1" hidden="1" customWidth="1"/>
    <col min="39" max="39" width="14.5703125" style="1" hidden="1" customWidth="1"/>
    <col min="40" max="40" width="20.7109375" style="1" customWidth="1"/>
    <col min="41" max="41" width="12.5703125" style="1" customWidth="1"/>
    <col min="42" max="42" width="28.28515625" style="1" hidden="1" customWidth="1"/>
    <col min="43" max="43" width="18.42578125" style="1" hidden="1" customWidth="1"/>
    <col min="44" max="44" width="23.7109375" style="1" hidden="1" customWidth="1"/>
    <col min="45" max="45" width="9.140625" style="1" customWidth="1"/>
    <col min="46" max="46" width="22.42578125" style="1" customWidth="1"/>
    <col min="47" max="249" width="9.140625" style="1" customWidth="1"/>
    <col min="250" max="16384" width="9.140625" style="1"/>
  </cols>
  <sheetData>
    <row r="1" spans="1:44" ht="28.5" customHeight="1" x14ac:dyDescent="0.2">
      <c r="A1" s="3"/>
      <c r="B1" s="2"/>
      <c r="C1" s="2"/>
      <c r="D1" s="2"/>
      <c r="E1" s="2"/>
      <c r="F1" s="2"/>
      <c r="G1" s="2"/>
      <c r="H1" s="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2"/>
      <c r="AJ1" s="2"/>
      <c r="AK1" s="2"/>
      <c r="AL1" s="2"/>
      <c r="AM1" s="2"/>
      <c r="AN1" s="2"/>
      <c r="AO1" s="2"/>
      <c r="AP1" s="2"/>
    </row>
    <row r="2" spans="1:44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13" t="s">
        <v>94</v>
      </c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44"/>
      <c r="AP2" s="7"/>
    </row>
    <row r="3" spans="1:44" s="93" customFormat="1" ht="19.5" customHeight="1" x14ac:dyDescent="0.3">
      <c r="A3" s="86"/>
      <c r="B3" s="86"/>
      <c r="C3" s="86"/>
      <c r="D3" s="86"/>
      <c r="E3" s="86"/>
      <c r="F3" s="86"/>
      <c r="G3" s="86"/>
      <c r="H3" s="86"/>
      <c r="I3" s="86"/>
      <c r="J3" s="87"/>
      <c r="K3" s="87"/>
      <c r="L3" s="86"/>
      <c r="M3" s="87"/>
      <c r="N3" s="87"/>
      <c r="O3" s="87"/>
      <c r="P3" s="87"/>
      <c r="Q3" s="88"/>
      <c r="R3" s="89"/>
      <c r="S3" s="89"/>
      <c r="T3" s="89"/>
      <c r="U3" s="89"/>
      <c r="V3" s="89"/>
      <c r="W3" s="89"/>
      <c r="X3" s="89"/>
      <c r="Y3" s="90"/>
      <c r="Z3" s="90"/>
      <c r="AA3" s="87"/>
      <c r="AB3" s="89"/>
      <c r="AC3" s="87"/>
      <c r="AD3" s="90"/>
      <c r="AE3" s="86"/>
      <c r="AF3" s="86"/>
      <c r="AG3" s="86"/>
      <c r="AH3" s="91"/>
      <c r="AI3" s="86"/>
      <c r="AJ3" s="86"/>
      <c r="AK3" s="86"/>
      <c r="AL3" s="86"/>
      <c r="AM3" s="86"/>
      <c r="AN3" s="86"/>
      <c r="AO3" s="92" t="s">
        <v>67</v>
      </c>
      <c r="AP3" s="86"/>
    </row>
    <row r="4" spans="1:44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96" t="s">
        <v>35</v>
      </c>
      <c r="J4" s="94" t="s">
        <v>49</v>
      </c>
      <c r="K4" s="94" t="s">
        <v>56</v>
      </c>
      <c r="L4" s="95" t="s">
        <v>61</v>
      </c>
      <c r="M4" s="94" t="s">
        <v>59</v>
      </c>
      <c r="N4" s="94" t="s">
        <v>58</v>
      </c>
      <c r="O4" s="95" t="s">
        <v>55</v>
      </c>
      <c r="P4" s="94" t="s">
        <v>72</v>
      </c>
      <c r="Q4" s="95" t="s">
        <v>74</v>
      </c>
      <c r="R4" s="94" t="s">
        <v>73</v>
      </c>
      <c r="S4" s="97" t="s">
        <v>76</v>
      </c>
      <c r="T4" s="95" t="s">
        <v>77</v>
      </c>
      <c r="U4" s="94" t="s">
        <v>84</v>
      </c>
      <c r="V4" s="95" t="s">
        <v>89</v>
      </c>
      <c r="W4" s="94" t="s">
        <v>90</v>
      </c>
      <c r="X4" s="98" t="s">
        <v>78</v>
      </c>
      <c r="Y4" s="114" t="s">
        <v>79</v>
      </c>
      <c r="Z4" s="115"/>
      <c r="AA4" s="100" t="s">
        <v>62</v>
      </c>
      <c r="AB4" s="100"/>
      <c r="AC4" s="106" t="s">
        <v>87</v>
      </c>
      <c r="AD4" s="94" t="s">
        <v>93</v>
      </c>
      <c r="AE4" s="102" t="s">
        <v>47</v>
      </c>
      <c r="AF4" s="97" t="s">
        <v>81</v>
      </c>
      <c r="AG4" s="97"/>
      <c r="AH4" s="100" t="s">
        <v>80</v>
      </c>
      <c r="AI4" s="100"/>
      <c r="AJ4" s="100" t="s">
        <v>57</v>
      </c>
      <c r="AK4" s="100"/>
      <c r="AL4" s="100" t="s">
        <v>88</v>
      </c>
      <c r="AM4" s="100"/>
      <c r="AN4" s="100" t="s">
        <v>95</v>
      </c>
      <c r="AO4" s="100"/>
      <c r="AP4" s="100" t="s">
        <v>60</v>
      </c>
      <c r="AQ4" s="100"/>
      <c r="AR4" s="38" t="s">
        <v>54</v>
      </c>
    </row>
    <row r="5" spans="1:44" s="5" customFormat="1" ht="57" customHeight="1" x14ac:dyDescent="0.3">
      <c r="A5" s="4"/>
      <c r="B5" s="47" t="s">
        <v>34</v>
      </c>
      <c r="C5" s="47" t="s">
        <v>33</v>
      </c>
      <c r="D5" s="47" t="s">
        <v>32</v>
      </c>
      <c r="E5" s="47" t="s">
        <v>31</v>
      </c>
      <c r="F5" s="47" t="s">
        <v>30</v>
      </c>
      <c r="G5" s="47" t="s">
        <v>29</v>
      </c>
      <c r="H5" s="47" t="s">
        <v>28</v>
      </c>
      <c r="I5" s="96"/>
      <c r="J5" s="94"/>
      <c r="K5" s="94"/>
      <c r="L5" s="95"/>
      <c r="M5" s="94"/>
      <c r="N5" s="94"/>
      <c r="O5" s="95"/>
      <c r="P5" s="94"/>
      <c r="Q5" s="95"/>
      <c r="R5" s="94"/>
      <c r="S5" s="97"/>
      <c r="T5" s="95"/>
      <c r="U5" s="94"/>
      <c r="V5" s="95"/>
      <c r="W5" s="94"/>
      <c r="X5" s="99"/>
      <c r="Y5" s="116"/>
      <c r="Z5" s="117"/>
      <c r="AA5" s="40" t="s">
        <v>91</v>
      </c>
      <c r="AB5" s="40" t="s">
        <v>92</v>
      </c>
      <c r="AC5" s="107"/>
      <c r="AD5" s="94"/>
      <c r="AE5" s="103"/>
      <c r="AF5" s="75" t="s">
        <v>40</v>
      </c>
      <c r="AG5" s="75" t="s">
        <v>41</v>
      </c>
      <c r="AH5" s="47" t="s">
        <v>40</v>
      </c>
      <c r="AI5" s="47" t="s">
        <v>41</v>
      </c>
      <c r="AJ5" s="47" t="s">
        <v>40</v>
      </c>
      <c r="AK5" s="47" t="s">
        <v>41</v>
      </c>
      <c r="AL5" s="47" t="s">
        <v>40</v>
      </c>
      <c r="AM5" s="47" t="s">
        <v>41</v>
      </c>
      <c r="AN5" s="47" t="s">
        <v>40</v>
      </c>
      <c r="AO5" s="47" t="s">
        <v>41</v>
      </c>
      <c r="AP5" s="47" t="s">
        <v>40</v>
      </c>
      <c r="AQ5" s="47" t="s">
        <v>41</v>
      </c>
      <c r="AR5" s="47" t="s">
        <v>40</v>
      </c>
    </row>
    <row r="6" spans="1:44" s="5" customFormat="1" ht="18.75" x14ac:dyDescent="0.3">
      <c r="A6" s="4"/>
      <c r="B6" s="47"/>
      <c r="C6" s="47"/>
      <c r="D6" s="47"/>
      <c r="E6" s="47"/>
      <c r="F6" s="47"/>
      <c r="G6" s="47"/>
      <c r="H6" s="47"/>
      <c r="I6" s="35">
        <v>1</v>
      </c>
      <c r="J6" s="35">
        <v>8</v>
      </c>
      <c r="K6" s="35">
        <v>3</v>
      </c>
      <c r="L6" s="35"/>
      <c r="M6" s="35">
        <v>2</v>
      </c>
      <c r="N6" s="35">
        <v>8</v>
      </c>
      <c r="O6" s="35">
        <v>3</v>
      </c>
      <c r="P6" s="35">
        <v>4</v>
      </c>
      <c r="Q6" s="35">
        <v>9</v>
      </c>
      <c r="R6" s="35">
        <v>2</v>
      </c>
      <c r="S6" s="35"/>
      <c r="T6" s="35"/>
      <c r="U6" s="35">
        <v>2</v>
      </c>
      <c r="V6" s="35"/>
      <c r="W6" s="35">
        <v>3</v>
      </c>
      <c r="X6" s="35">
        <v>3</v>
      </c>
      <c r="Y6" s="35">
        <v>4</v>
      </c>
      <c r="Z6" s="35">
        <v>5</v>
      </c>
      <c r="AA6" s="35">
        <v>6</v>
      </c>
      <c r="AB6" s="35">
        <v>7</v>
      </c>
      <c r="AC6" s="35"/>
      <c r="AD6" s="35">
        <v>5</v>
      </c>
      <c r="AE6" s="35">
        <v>9</v>
      </c>
      <c r="AF6" s="35">
        <v>6</v>
      </c>
      <c r="AG6" s="35">
        <v>7</v>
      </c>
      <c r="AH6" s="35">
        <v>6</v>
      </c>
      <c r="AI6" s="35">
        <v>7</v>
      </c>
      <c r="AJ6" s="35">
        <v>9</v>
      </c>
      <c r="AK6" s="35">
        <v>10</v>
      </c>
      <c r="AL6" s="35">
        <v>12</v>
      </c>
      <c r="AM6" s="35">
        <v>13</v>
      </c>
      <c r="AN6" s="35">
        <v>8</v>
      </c>
      <c r="AO6" s="35">
        <v>9</v>
      </c>
      <c r="AP6" s="35">
        <v>18</v>
      </c>
      <c r="AQ6" s="35">
        <v>19</v>
      </c>
      <c r="AR6" s="37">
        <v>19</v>
      </c>
    </row>
    <row r="7" spans="1:44" s="10" customFormat="1" ht="40.5" customHeight="1" x14ac:dyDescent="0.3">
      <c r="A7" s="9"/>
      <c r="B7" s="101" t="s">
        <v>8</v>
      </c>
      <c r="C7" s="101"/>
      <c r="D7" s="101"/>
      <c r="E7" s="101"/>
      <c r="F7" s="101"/>
      <c r="G7" s="101"/>
      <c r="H7" s="101"/>
      <c r="I7" s="101"/>
      <c r="J7" s="50">
        <f t="shared" ref="J7:R7" si="0">J10+J11+J13+J14+J15+J16+J17+J20+J23+J33+J34+J42+J45+J47+J12</f>
        <v>360649780.94999993</v>
      </c>
      <c r="K7" s="50">
        <f t="shared" si="0"/>
        <v>346641901.21513432</v>
      </c>
      <c r="L7" s="50">
        <f t="shared" si="0"/>
        <v>126453042.85999998</v>
      </c>
      <c r="M7" s="50">
        <f t="shared" si="0"/>
        <v>121431774.7755432</v>
      </c>
      <c r="N7" s="50">
        <f t="shared" si="0"/>
        <v>360402470.81999993</v>
      </c>
      <c r="O7" s="50">
        <f t="shared" si="0"/>
        <v>385569790.7899999</v>
      </c>
      <c r="P7" s="50">
        <f>P10+P11+P13+P14+P15+P16+P17+P20+P23+P33+P34+P42+P45+P47+P12</f>
        <v>384576783.90558708</v>
      </c>
      <c r="Q7" s="50">
        <v>385569790.7899999</v>
      </c>
      <c r="R7" s="50">
        <f t="shared" si="0"/>
        <v>381858850.5055871</v>
      </c>
      <c r="S7" s="50">
        <f>S10+S11+S13+S14+S15+S16+S17+S20+S23+S33+S34+S42+S45+S47+S12+S21</f>
        <v>382886348.21999997</v>
      </c>
      <c r="T7" s="50">
        <f>T10+T11+T13+T14+T15+T16+T17+T20+T23+T33+T34+T42+T45+T47+T12+T21</f>
        <v>405945830.95999998</v>
      </c>
      <c r="U7" s="50">
        <f>U10+U11+U13+U14+U15+U16+U17+U20+U23+U33+U34+U42+U45+U47+U12+U21</f>
        <v>414967089.2946741</v>
      </c>
      <c r="V7" s="50">
        <f>V9+V22</f>
        <v>51785134.910000004</v>
      </c>
      <c r="W7" s="50">
        <f>W9+W22</f>
        <v>52992865.822238319</v>
      </c>
      <c r="X7" s="50">
        <f t="shared" ref="X7:AD7" si="1">X9+X22</f>
        <v>400415099.64999998</v>
      </c>
      <c r="Y7" s="50">
        <f t="shared" si="1"/>
        <v>443097374.21999997</v>
      </c>
      <c r="Z7" s="50">
        <f t="shared" si="1"/>
        <v>79963773.170000002</v>
      </c>
      <c r="AA7" s="50">
        <f t="shared" si="1"/>
        <v>17136746.220000003</v>
      </c>
      <c r="AB7" s="50">
        <f t="shared" si="1"/>
        <v>9440176.4899999984</v>
      </c>
      <c r="AC7" s="50">
        <v>38073645.840000004</v>
      </c>
      <c r="AD7" s="50">
        <f t="shared" si="1"/>
        <v>47513822.329999998</v>
      </c>
      <c r="AE7" s="50">
        <f>AB7-AA7</f>
        <v>-7696569.7300000042</v>
      </c>
      <c r="AF7" s="50">
        <f t="shared" ref="AF7:AF39" si="2">AD7-X7</f>
        <v>-352901277.31999999</v>
      </c>
      <c r="AG7" s="50">
        <f t="shared" ref="AG7:AG28" si="3">AD7/X7*100</f>
        <v>11.866141504536541</v>
      </c>
      <c r="AH7" s="50">
        <f t="shared" ref="AH7:AH37" si="4">AD7-Y7</f>
        <v>-395583551.88999999</v>
      </c>
      <c r="AI7" s="50">
        <f>AD7/Y7%</f>
        <v>10.723110786571523</v>
      </c>
      <c r="AJ7" s="50" t="e">
        <f>AD7-#REF!</f>
        <v>#REF!</v>
      </c>
      <c r="AK7" s="50" t="e">
        <f>IF(#REF!=0,0,AD7/#REF!*100)</f>
        <v>#REF!</v>
      </c>
      <c r="AL7" s="50">
        <f>AD7-Z7</f>
        <v>-32449950.840000004</v>
      </c>
      <c r="AM7" s="50">
        <f>AD7/Z7*100</f>
        <v>59.419185021431375</v>
      </c>
      <c r="AN7" s="50">
        <f>AD7-W7</f>
        <v>-5479043.4922383204</v>
      </c>
      <c r="AO7" s="50">
        <f>AD7/W7%</f>
        <v>89.66079035880513</v>
      </c>
      <c r="AP7" s="50">
        <f>AD7-M7</f>
        <v>-73917952.4455432</v>
      </c>
      <c r="AQ7" s="50">
        <f>IF(M7=0,0,AD7/M7*100)</f>
        <v>39.127997937793012</v>
      </c>
      <c r="AR7" s="51" t="e">
        <f>AR10+AR11+AR13+AR14+AR15+AR16+AR17+AR20+AR23+AR33+AR34+AR42+AR45+AR47+AR12</f>
        <v>#REF!</v>
      </c>
    </row>
    <row r="8" spans="1:44" s="10" customFormat="1" ht="94.5" customHeight="1" x14ac:dyDescent="0.3">
      <c r="A8" s="9"/>
      <c r="B8" s="63"/>
      <c r="C8" s="63"/>
      <c r="D8" s="63"/>
      <c r="E8" s="63"/>
      <c r="F8" s="63"/>
      <c r="G8" s="63"/>
      <c r="H8" s="63"/>
      <c r="I8" s="64" t="s">
        <v>69</v>
      </c>
      <c r="J8" s="56"/>
      <c r="K8" s="56"/>
      <c r="L8" s="56"/>
      <c r="M8" s="56"/>
      <c r="N8" s="56"/>
      <c r="O8" s="58">
        <f>O7-O34-O49</f>
        <v>352285283.9799999</v>
      </c>
      <c r="P8" s="58">
        <f>P7-P34-P49</f>
        <v>351292277.09558707</v>
      </c>
      <c r="Q8" s="58">
        <v>352285283.9799999</v>
      </c>
      <c r="R8" s="58">
        <f>R7-R34-R49</f>
        <v>348574343.6955871</v>
      </c>
      <c r="S8" s="58">
        <f t="shared" ref="S8" si="5">S7-S34-S49</f>
        <v>353430820.75</v>
      </c>
      <c r="T8" s="58">
        <f>T7-T34-T49+T41-31715.49-30845.55-10000-18222.76-1302-275200</f>
        <v>374964244.18000001</v>
      </c>
      <c r="U8" s="58">
        <f>U7-U34-U49+U41-31715.49-30845.55-10000-18222.76-1302-275200</f>
        <v>383985502.51467413</v>
      </c>
      <c r="V8" s="58">
        <f>V7-V34-V49</f>
        <v>46166135.260000005</v>
      </c>
      <c r="W8" s="58">
        <f>W7-W34-W49</f>
        <v>47373866.17223832</v>
      </c>
      <c r="X8" s="58">
        <f t="shared" ref="X8:Z8" si="6">X7-X34-X49</f>
        <v>372608810</v>
      </c>
      <c r="Y8" s="58">
        <f t="shared" si="6"/>
        <v>413468575.76999998</v>
      </c>
      <c r="Z8" s="58">
        <f t="shared" si="6"/>
        <v>72064467.549999997</v>
      </c>
      <c r="AA8" s="58">
        <f>AA7-AA34-AA49</f>
        <v>16295389.000000004</v>
      </c>
      <c r="AB8" s="58">
        <f>AB7-AB34-AB49</f>
        <v>7833417.4399999985</v>
      </c>
      <c r="AC8" s="58">
        <v>30209844.080000013</v>
      </c>
      <c r="AD8" s="58">
        <f t="shared" ref="AD8" si="7">AD7-AD34-AD49</f>
        <v>38043261.519999996</v>
      </c>
      <c r="AE8" s="57">
        <f t="shared" ref="AE8:AE59" si="8">AB8-AA8</f>
        <v>-8461971.5600000061</v>
      </c>
      <c r="AF8" s="74">
        <f t="shared" si="2"/>
        <v>-334565548.48000002</v>
      </c>
      <c r="AG8" s="74">
        <f t="shared" si="3"/>
        <v>10.209973704057077</v>
      </c>
      <c r="AH8" s="57">
        <f t="shared" si="4"/>
        <v>-375425314.25</v>
      </c>
      <c r="AI8" s="57">
        <f>AD8/Y8%</f>
        <v>9.2010043203772529</v>
      </c>
      <c r="AJ8" s="57"/>
      <c r="AK8" s="57"/>
      <c r="AL8" s="74">
        <f t="shared" ref="AL8:AL59" si="9">AD8-Z8</f>
        <v>-34021206.030000001</v>
      </c>
      <c r="AM8" s="74">
        <f t="shared" ref="AM8:AM59" si="10">AD8/Z8*100</f>
        <v>52.790595439569024</v>
      </c>
      <c r="AN8" s="57">
        <f t="shared" ref="AN8:AN59" si="11">AD8-W8</f>
        <v>-9330604.6522383243</v>
      </c>
      <c r="AO8" s="57">
        <f>AD8/W8%</f>
        <v>80.304320913317866</v>
      </c>
      <c r="AP8" s="25"/>
      <c r="AQ8" s="25"/>
      <c r="AR8" s="55"/>
    </row>
    <row r="9" spans="1:44" s="10" customFormat="1" ht="30" customHeight="1" x14ac:dyDescent="0.3">
      <c r="A9" s="9"/>
      <c r="B9" s="63"/>
      <c r="C9" s="63"/>
      <c r="D9" s="63"/>
      <c r="E9" s="63"/>
      <c r="F9" s="63"/>
      <c r="G9" s="63"/>
      <c r="H9" s="63"/>
      <c r="I9" s="78" t="s">
        <v>85</v>
      </c>
      <c r="J9" s="79"/>
      <c r="K9" s="79"/>
      <c r="L9" s="79"/>
      <c r="M9" s="79"/>
      <c r="N9" s="79"/>
      <c r="O9" s="80"/>
      <c r="P9" s="80"/>
      <c r="Q9" s="80"/>
      <c r="R9" s="80"/>
      <c r="S9" s="80"/>
      <c r="T9" s="80">
        <f>T10+T11+T12+T13+T14+T15+T16+T17+T20+T21</f>
        <v>318657278.21000004</v>
      </c>
      <c r="U9" s="80">
        <f t="shared" ref="U9:Z9" si="12">U10+U11+U12+U13+U14+U15+U16+U17+U20+U21</f>
        <v>327678536.54467416</v>
      </c>
      <c r="V9" s="80">
        <f t="shared" si="12"/>
        <v>41659357.980000004</v>
      </c>
      <c r="W9" s="80">
        <f t="shared" si="12"/>
        <v>42867088.892238319</v>
      </c>
      <c r="X9" s="80">
        <f t="shared" si="12"/>
        <v>323434900</v>
      </c>
      <c r="Y9" s="80">
        <f t="shared" si="12"/>
        <v>364294665.76999998</v>
      </c>
      <c r="Z9" s="80">
        <f t="shared" si="12"/>
        <v>66564663.020000003</v>
      </c>
      <c r="AA9" s="80">
        <f t="shared" ref="AA9:AB9" si="13">AA10+AA11+AA12+AA13+AA14+AA15+AA16+AA17+AA20+AA21</f>
        <v>15779204.250000002</v>
      </c>
      <c r="AB9" s="80">
        <f t="shared" si="13"/>
        <v>4595458.6199999992</v>
      </c>
      <c r="AC9" s="80">
        <v>26875281.59</v>
      </c>
      <c r="AD9" s="80">
        <f t="shared" ref="AD9" si="14">AD10+AD11+AD12+AD13+AD14+AD15+AD16+AD17+AD20+AD21</f>
        <v>31470740.209999997</v>
      </c>
      <c r="AE9" s="81">
        <f t="shared" si="8"/>
        <v>-11183745.630000003</v>
      </c>
      <c r="AF9" s="82"/>
      <c r="AG9" s="82"/>
      <c r="AH9" s="81">
        <f t="shared" si="4"/>
        <v>-332823925.56</v>
      </c>
      <c r="AI9" s="81">
        <f>AD9/Y9%</f>
        <v>8.6388144453010653</v>
      </c>
      <c r="AJ9" s="83"/>
      <c r="AK9" s="83"/>
      <c r="AL9" s="82">
        <f t="shared" si="9"/>
        <v>-35093922.810000002</v>
      </c>
      <c r="AM9" s="82">
        <f t="shared" si="10"/>
        <v>47.278448927990972</v>
      </c>
      <c r="AN9" s="81">
        <f t="shared" si="11"/>
        <v>-11396348.682238322</v>
      </c>
      <c r="AO9" s="81">
        <f>AD9/W9%</f>
        <v>73.414689504838776</v>
      </c>
      <c r="AP9" s="25"/>
      <c r="AQ9" s="25"/>
      <c r="AR9" s="55"/>
    </row>
    <row r="10" spans="1:44" s="10" customFormat="1" ht="25.5" customHeight="1" x14ac:dyDescent="0.3">
      <c r="A10" s="9"/>
      <c r="B10" s="105" t="s">
        <v>27</v>
      </c>
      <c r="C10" s="105"/>
      <c r="D10" s="105"/>
      <c r="E10" s="105"/>
      <c r="F10" s="105"/>
      <c r="G10" s="105"/>
      <c r="H10" s="105"/>
      <c r="I10" s="105"/>
      <c r="J10" s="52">
        <v>164512361.93000001</v>
      </c>
      <c r="K10" s="53">
        <f>J10/34.24*100*30.38/100</f>
        <v>145966283.74513432</v>
      </c>
      <c r="L10" s="52">
        <v>66310922.030000001</v>
      </c>
      <c r="M10" s="53">
        <f>L10/34.24*100*30.38/100</f>
        <v>58835450.095543221</v>
      </c>
      <c r="N10" s="52">
        <v>151841019.02000001</v>
      </c>
      <c r="O10" s="52">
        <v>159769581.34999999</v>
      </c>
      <c r="P10" s="53">
        <f>O10/30.57%*30.38%</f>
        <v>158776574.46558717</v>
      </c>
      <c r="Q10" s="52">
        <v>159769581.34999999</v>
      </c>
      <c r="R10" s="53">
        <f>Q10/30.57%*30.38%</f>
        <v>158776574.46558717</v>
      </c>
      <c r="S10" s="52">
        <v>175650779.62</v>
      </c>
      <c r="T10" s="52">
        <v>187716320.69</v>
      </c>
      <c r="U10" s="53">
        <f>T10/30.38%*31.84%</f>
        <v>196737579.02467412</v>
      </c>
      <c r="V10" s="52">
        <v>25130729.530000001</v>
      </c>
      <c r="W10" s="53">
        <f>V10/30.38%*31.84%</f>
        <v>26338460.44223832</v>
      </c>
      <c r="X10" s="52">
        <v>188231000</v>
      </c>
      <c r="Y10" s="52">
        <v>229090765.77000001</v>
      </c>
      <c r="Z10" s="52">
        <v>40642573.539999999</v>
      </c>
      <c r="AA10" s="52">
        <v>11711103.76</v>
      </c>
      <c r="AB10" s="52">
        <v>1655048.89</v>
      </c>
      <c r="AC10" s="52">
        <v>20679900.260000002</v>
      </c>
      <c r="AD10" s="52">
        <f>AC10+AB10</f>
        <v>22334949.150000002</v>
      </c>
      <c r="AE10" s="52">
        <f t="shared" si="8"/>
        <v>-10056054.869999999</v>
      </c>
      <c r="AF10" s="50">
        <f t="shared" si="2"/>
        <v>-165896050.84999999</v>
      </c>
      <c r="AG10" s="50">
        <f t="shared" si="3"/>
        <v>11.865712422502138</v>
      </c>
      <c r="AH10" s="52">
        <f t="shared" si="4"/>
        <v>-206755816.62</v>
      </c>
      <c r="AI10" s="50">
        <f t="shared" ref="AI10:AI59" si="15">AD10/Y10%</f>
        <v>9.7493886647633765</v>
      </c>
      <c r="AJ10" s="52" t="e">
        <f>AD10-#REF!</f>
        <v>#REF!</v>
      </c>
      <c r="AK10" s="52" t="e">
        <f>IF(#REF!=0,0,AD10/#REF!*100)</f>
        <v>#REF!</v>
      </c>
      <c r="AL10" s="50">
        <f t="shared" si="9"/>
        <v>-18307624.389999997</v>
      </c>
      <c r="AM10" s="50">
        <f t="shared" si="10"/>
        <v>54.954564154305288</v>
      </c>
      <c r="AN10" s="52">
        <f t="shared" si="11"/>
        <v>-4003511.2922383174</v>
      </c>
      <c r="AO10" s="50">
        <f t="shared" ref="AO10:AO59" si="16">AD10/W10%</f>
        <v>84.799752054535475</v>
      </c>
      <c r="AP10" s="52">
        <f t="shared" ref="AP10:AP20" si="17">AD10-M10</f>
        <v>-36500500.945543215</v>
      </c>
      <c r="AQ10" s="52">
        <f t="shared" ref="AQ10:AQ20" si="18">IF(M10=0,0,AD10/M10*100)</f>
        <v>37.961720550671664</v>
      </c>
      <c r="AR10" s="54" t="e">
        <f>#REF!</f>
        <v>#REF!</v>
      </c>
    </row>
    <row r="11" spans="1:44" s="10" customFormat="1" ht="61.5" customHeight="1" x14ac:dyDescent="0.3">
      <c r="A11" s="9"/>
      <c r="B11" s="104" t="s">
        <v>26</v>
      </c>
      <c r="C11" s="104"/>
      <c r="D11" s="104"/>
      <c r="E11" s="104"/>
      <c r="F11" s="104"/>
      <c r="G11" s="104"/>
      <c r="H11" s="104"/>
      <c r="I11" s="104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30550000</v>
      </c>
      <c r="T11" s="12">
        <f>30672664.63+10.25</f>
        <v>30672674.879999999</v>
      </c>
      <c r="U11" s="12">
        <f>T11</f>
        <v>30672674.879999999</v>
      </c>
      <c r="V11" s="12">
        <v>4781490.1500000004</v>
      </c>
      <c r="W11" s="12">
        <f>V11</f>
        <v>4781490.1500000004</v>
      </c>
      <c r="X11" s="12">
        <v>28603900</v>
      </c>
      <c r="Y11" s="12">
        <v>28603900</v>
      </c>
      <c r="Z11" s="12">
        <v>6444768.2800000003</v>
      </c>
      <c r="AA11" s="12">
        <v>371324.23</v>
      </c>
      <c r="AB11" s="12">
        <v>1302019.73</v>
      </c>
      <c r="AC11" s="12">
        <v>4007817.51</v>
      </c>
      <c r="AD11" s="12">
        <f t="shared" ref="AD11:AD58" si="19">AC11+AB11</f>
        <v>5309837.24</v>
      </c>
      <c r="AE11" s="12">
        <f t="shared" si="8"/>
        <v>930695.5</v>
      </c>
      <c r="AF11" s="50">
        <f t="shared" si="2"/>
        <v>-23294062.759999998</v>
      </c>
      <c r="AG11" s="50">
        <f t="shared" si="3"/>
        <v>18.563333111918308</v>
      </c>
      <c r="AH11" s="12">
        <f t="shared" si="4"/>
        <v>-23294062.759999998</v>
      </c>
      <c r="AI11" s="50">
        <f t="shared" si="15"/>
        <v>18.563333111918304</v>
      </c>
      <c r="AJ11" s="12" t="e">
        <f>AD11-#REF!</f>
        <v>#REF!</v>
      </c>
      <c r="AK11" s="12" t="e">
        <f>IF(#REF!=0,0,AD11/#REF!*100)</f>
        <v>#REF!</v>
      </c>
      <c r="AL11" s="50">
        <f t="shared" si="9"/>
        <v>-1134931.04</v>
      </c>
      <c r="AM11" s="50">
        <f t="shared" si="10"/>
        <v>82.389886017748339</v>
      </c>
      <c r="AN11" s="12">
        <f t="shared" si="11"/>
        <v>528347.08999999985</v>
      </c>
      <c r="AO11" s="50">
        <v>0</v>
      </c>
      <c r="AP11" s="12">
        <f t="shared" si="17"/>
        <v>-2584087.87</v>
      </c>
      <c r="AQ11" s="12">
        <f t="shared" si="18"/>
        <v>67.264854505314659</v>
      </c>
      <c r="AR11" s="39">
        <v>24865000</v>
      </c>
    </row>
    <row r="12" spans="1:44" s="10" customFormat="1" ht="45.75" customHeight="1" x14ac:dyDescent="0.3">
      <c r="A12" s="9"/>
      <c r="B12" s="65"/>
      <c r="C12" s="65"/>
      <c r="D12" s="65"/>
      <c r="E12" s="65"/>
      <c r="F12" s="65"/>
      <c r="G12" s="65"/>
      <c r="H12" s="65"/>
      <c r="I12" s="65" t="s">
        <v>50</v>
      </c>
      <c r="J12" s="12">
        <v>0</v>
      </c>
      <c r="K12" s="12">
        <f t="shared" ref="K12:K13" si="20">J12</f>
        <v>0</v>
      </c>
      <c r="L12" s="12">
        <v>0</v>
      </c>
      <c r="M12" s="42">
        <f t="shared" ref="M12" si="21">L12</f>
        <v>0</v>
      </c>
      <c r="N12" s="12">
        <v>8810490.5399999991</v>
      </c>
      <c r="O12" s="12">
        <v>9529840.7599999998</v>
      </c>
      <c r="P12" s="12">
        <f t="shared" ref="P12:P15" si="22">O12</f>
        <v>9529840.7599999998</v>
      </c>
      <c r="Q12" s="12">
        <v>9529840.7599999998</v>
      </c>
      <c r="R12" s="12">
        <f>Q12</f>
        <v>9529840.7599999998</v>
      </c>
      <c r="S12" s="12">
        <v>10726300</v>
      </c>
      <c r="T12" s="12">
        <v>11350712.029999999</v>
      </c>
      <c r="U12" s="12">
        <f>T12</f>
        <v>11350712.029999999</v>
      </c>
      <c r="V12" s="12">
        <v>1141385.07</v>
      </c>
      <c r="W12" s="12">
        <f>V12</f>
        <v>1141385.07</v>
      </c>
      <c r="X12" s="12">
        <v>11972000</v>
      </c>
      <c r="Y12" s="12">
        <v>11972000</v>
      </c>
      <c r="Z12" s="12">
        <v>1964769.13</v>
      </c>
      <c r="AA12" s="12">
        <v>154455.26</v>
      </c>
      <c r="AB12" s="12">
        <v>14349.84</v>
      </c>
      <c r="AC12" s="12">
        <v>142189.68</v>
      </c>
      <c r="AD12" s="12">
        <f t="shared" si="19"/>
        <v>156539.51999999999</v>
      </c>
      <c r="AE12" s="12">
        <f t="shared" si="8"/>
        <v>-140105.42000000001</v>
      </c>
      <c r="AF12" s="50">
        <f t="shared" si="2"/>
        <v>-11815460.48</v>
      </c>
      <c r="AG12" s="50">
        <f t="shared" si="3"/>
        <v>1.3075469428666888</v>
      </c>
      <c r="AH12" s="12">
        <f t="shared" si="4"/>
        <v>-11815460.48</v>
      </c>
      <c r="AI12" s="50">
        <f t="shared" si="15"/>
        <v>1.3075469428666888</v>
      </c>
      <c r="AJ12" s="12" t="e">
        <f>AD12-#REF!</f>
        <v>#REF!</v>
      </c>
      <c r="AK12" s="12" t="e">
        <f>IF(#REF!=0,0,AD12/#REF!*100)</f>
        <v>#REF!</v>
      </c>
      <c r="AL12" s="50">
        <f t="shared" si="9"/>
        <v>-1808229.6099999999</v>
      </c>
      <c r="AM12" s="50">
        <f t="shared" si="10"/>
        <v>7.9673238758591447</v>
      </c>
      <c r="AN12" s="12">
        <f t="shared" si="11"/>
        <v>-984845.55</v>
      </c>
      <c r="AO12" s="50">
        <f t="shared" si="16"/>
        <v>13.714873631560643</v>
      </c>
      <c r="AP12" s="12">
        <f t="shared" si="17"/>
        <v>156539.51999999999</v>
      </c>
      <c r="AQ12" s="12">
        <f t="shared" si="18"/>
        <v>0</v>
      </c>
      <c r="AR12" s="39">
        <f>AD12</f>
        <v>156539.51999999999</v>
      </c>
    </row>
    <row r="13" spans="1:44" s="10" customFormat="1" ht="45.75" customHeight="1" x14ac:dyDescent="0.3">
      <c r="A13" s="9"/>
      <c r="B13" s="104" t="s">
        <v>25</v>
      </c>
      <c r="C13" s="104"/>
      <c r="D13" s="104"/>
      <c r="E13" s="104"/>
      <c r="F13" s="104"/>
      <c r="G13" s="104"/>
      <c r="H13" s="104"/>
      <c r="I13" s="104"/>
      <c r="J13" s="12">
        <v>11880184.26</v>
      </c>
      <c r="K13" s="12">
        <f t="shared" si="20"/>
        <v>11880184.26</v>
      </c>
      <c r="L13" s="12">
        <v>5414678.8600000003</v>
      </c>
      <c r="M13" s="42">
        <f>L13</f>
        <v>5414678.8600000003</v>
      </c>
      <c r="N13" s="12">
        <v>2900000</v>
      </c>
      <c r="O13" s="12">
        <v>2940555.44</v>
      </c>
      <c r="P13" s="12">
        <f t="shared" si="22"/>
        <v>2940555.44</v>
      </c>
      <c r="Q13" s="12">
        <v>2940555.44</v>
      </c>
      <c r="R13" s="41">
        <f>U13</f>
        <v>222622.04</v>
      </c>
      <c r="S13" s="12">
        <v>9947.76</v>
      </c>
      <c r="T13" s="12">
        <v>222622.04</v>
      </c>
      <c r="U13" s="12">
        <f t="shared" ref="U13:W15" si="23">T13</f>
        <v>222622.04</v>
      </c>
      <c r="V13" s="12">
        <v>61768.56</v>
      </c>
      <c r="W13" s="12">
        <f t="shared" si="23"/>
        <v>61768.56</v>
      </c>
      <c r="X13" s="12">
        <v>8000</v>
      </c>
      <c r="Y13" s="12">
        <v>8000</v>
      </c>
      <c r="Z13" s="12">
        <v>1000</v>
      </c>
      <c r="AA13" s="12">
        <v>2142.91</v>
      </c>
      <c r="AB13" s="12">
        <v>13717.11</v>
      </c>
      <c r="AC13" s="12">
        <v>-423849.78</v>
      </c>
      <c r="AD13" s="12">
        <f t="shared" si="19"/>
        <v>-410132.67000000004</v>
      </c>
      <c r="AE13" s="12">
        <f t="shared" si="8"/>
        <v>11574.2</v>
      </c>
      <c r="AF13" s="50">
        <f t="shared" si="2"/>
        <v>-418132.67000000004</v>
      </c>
      <c r="AG13" s="50">
        <f t="shared" si="3"/>
        <v>-5126.658375</v>
      </c>
      <c r="AH13" s="12">
        <f t="shared" si="4"/>
        <v>-418132.67000000004</v>
      </c>
      <c r="AI13" s="50">
        <f t="shared" si="15"/>
        <v>-5126.6583750000009</v>
      </c>
      <c r="AJ13" s="12" t="e">
        <f>AD13-#REF!</f>
        <v>#REF!</v>
      </c>
      <c r="AK13" s="12" t="e">
        <f>IF(#REF!=0,0,AD13/#REF!*100)</f>
        <v>#REF!</v>
      </c>
      <c r="AL13" s="50">
        <f t="shared" si="9"/>
        <v>-411132.67000000004</v>
      </c>
      <c r="AM13" s="50">
        <v>0</v>
      </c>
      <c r="AN13" s="12">
        <f t="shared" si="11"/>
        <v>-471901.23000000004</v>
      </c>
      <c r="AO13" s="50">
        <f t="shared" si="16"/>
        <v>-663.98289032478658</v>
      </c>
      <c r="AP13" s="12">
        <f t="shared" si="17"/>
        <v>-5824811.5300000003</v>
      </c>
      <c r="AQ13" s="12">
        <f t="shared" si="18"/>
        <v>-7.5744597344412039</v>
      </c>
      <c r="AR13" s="39">
        <f>AD13</f>
        <v>-410132.67000000004</v>
      </c>
    </row>
    <row r="14" spans="1:44" s="10" customFormat="1" ht="30.75" customHeight="1" x14ac:dyDescent="0.3">
      <c r="A14" s="9"/>
      <c r="B14" s="104" t="s">
        <v>24</v>
      </c>
      <c r="C14" s="104"/>
      <c r="D14" s="104"/>
      <c r="E14" s="104"/>
      <c r="F14" s="104"/>
      <c r="G14" s="104"/>
      <c r="H14" s="104"/>
      <c r="I14" s="104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5292297</v>
      </c>
      <c r="T14" s="12">
        <v>5296262.9000000004</v>
      </c>
      <c r="U14" s="12">
        <f>T14</f>
        <v>5296262.9000000004</v>
      </c>
      <c r="V14" s="12">
        <v>455358.6</v>
      </c>
      <c r="W14" s="12">
        <f>V14</f>
        <v>455358.6</v>
      </c>
      <c r="X14" s="12">
        <v>5814000</v>
      </c>
      <c r="Y14" s="12">
        <v>5814000</v>
      </c>
      <c r="Z14" s="12">
        <v>2494100.66</v>
      </c>
      <c r="AA14" s="12">
        <v>-6767</v>
      </c>
      <c r="AB14" s="12">
        <v>0</v>
      </c>
      <c r="AC14" s="12">
        <v>300813.57999999996</v>
      </c>
      <c r="AD14" s="12">
        <f t="shared" si="19"/>
        <v>300813.57999999996</v>
      </c>
      <c r="AE14" s="12">
        <f t="shared" si="8"/>
        <v>6767</v>
      </c>
      <c r="AF14" s="50">
        <f t="shared" si="2"/>
        <v>-5513186.4199999999</v>
      </c>
      <c r="AG14" s="50">
        <f t="shared" si="3"/>
        <v>5.1739521843825242</v>
      </c>
      <c r="AH14" s="12">
        <f t="shared" si="4"/>
        <v>-5513186.4199999999</v>
      </c>
      <c r="AI14" s="50">
        <f t="shared" si="15"/>
        <v>5.1739521843825242</v>
      </c>
      <c r="AJ14" s="12" t="e">
        <f>AD14-#REF!</f>
        <v>#REF!</v>
      </c>
      <c r="AK14" s="12" t="e">
        <f>IF(#REF!=0,0,AD14/#REF!*100)</f>
        <v>#REF!</v>
      </c>
      <c r="AL14" s="50">
        <f t="shared" si="9"/>
        <v>-2193287.08</v>
      </c>
      <c r="AM14" s="50">
        <f t="shared" si="10"/>
        <v>12.061003985300255</v>
      </c>
      <c r="AN14" s="12">
        <f t="shared" si="11"/>
        <v>-154545.02000000002</v>
      </c>
      <c r="AO14" s="50">
        <f t="shared" si="16"/>
        <v>66.06081009560377</v>
      </c>
      <c r="AP14" s="12">
        <f t="shared" si="17"/>
        <v>-3266264.28</v>
      </c>
      <c r="AQ14" s="12">
        <f t="shared" si="18"/>
        <v>8.4330533788797091</v>
      </c>
      <c r="AR14" s="39">
        <f>AD14</f>
        <v>300813.57999999996</v>
      </c>
    </row>
    <row r="15" spans="1:44" s="10" customFormat="1" ht="42.75" customHeight="1" x14ac:dyDescent="0.3">
      <c r="A15" s="9"/>
      <c r="B15" s="104" t="s">
        <v>23</v>
      </c>
      <c r="C15" s="104"/>
      <c r="D15" s="104"/>
      <c r="E15" s="104"/>
      <c r="F15" s="104"/>
      <c r="G15" s="104"/>
      <c r="H15" s="104"/>
      <c r="I15" s="104"/>
      <c r="J15" s="12">
        <v>199821.72</v>
      </c>
      <c r="K15" s="12">
        <f t="shared" ref="K15" si="24">J15</f>
        <v>199821.72</v>
      </c>
      <c r="L15" s="12">
        <v>141824.35999999999</v>
      </c>
      <c r="M15" s="12">
        <f t="shared" ref="M15" si="25">L15</f>
        <v>141824.35999999999</v>
      </c>
      <c r="N15" s="12">
        <v>4514274.29</v>
      </c>
      <c r="O15" s="12">
        <v>6011745.4100000001</v>
      </c>
      <c r="P15" s="12">
        <f t="shared" si="22"/>
        <v>6011745.4100000001</v>
      </c>
      <c r="Q15" s="12">
        <v>6011745.4100000001</v>
      </c>
      <c r="R15" s="12">
        <f t="shared" ref="R15" si="26">Q15</f>
        <v>6011745.4100000001</v>
      </c>
      <c r="S15" s="12">
        <v>5191300</v>
      </c>
      <c r="T15" s="12">
        <v>7445903.21</v>
      </c>
      <c r="U15" s="12">
        <f t="shared" si="23"/>
        <v>7445903.21</v>
      </c>
      <c r="V15" s="12">
        <v>818936.41</v>
      </c>
      <c r="W15" s="12">
        <f t="shared" si="23"/>
        <v>818936.41</v>
      </c>
      <c r="X15" s="12">
        <v>8168000</v>
      </c>
      <c r="Y15" s="12">
        <v>8168000</v>
      </c>
      <c r="Z15" s="12">
        <v>3521650.92</v>
      </c>
      <c r="AA15" s="12">
        <v>55459.91</v>
      </c>
      <c r="AB15" s="12">
        <v>27667.96</v>
      </c>
      <c r="AC15" s="12">
        <v>-318447.2699999999</v>
      </c>
      <c r="AD15" s="12">
        <f t="shared" si="19"/>
        <v>-290779.30999999988</v>
      </c>
      <c r="AE15" s="12">
        <f t="shared" si="8"/>
        <v>-27791.950000000004</v>
      </c>
      <c r="AF15" s="50">
        <f t="shared" si="2"/>
        <v>-8458779.3100000005</v>
      </c>
      <c r="AG15" s="50">
        <f t="shared" si="3"/>
        <v>-3.5599817580803119</v>
      </c>
      <c r="AH15" s="12">
        <f t="shared" si="4"/>
        <v>-8458779.3100000005</v>
      </c>
      <c r="AI15" s="50">
        <f t="shared" si="15"/>
        <v>-3.5599817580803119</v>
      </c>
      <c r="AJ15" s="12" t="e">
        <f>AD15-#REF!</f>
        <v>#REF!</v>
      </c>
      <c r="AK15" s="12" t="e">
        <f>IF(#REF!=0,0,AD15/#REF!*100)</f>
        <v>#REF!</v>
      </c>
      <c r="AL15" s="50">
        <f t="shared" si="9"/>
        <v>-3812430.23</v>
      </c>
      <c r="AM15" s="50">
        <f t="shared" si="10"/>
        <v>-8.2569032708102679</v>
      </c>
      <c r="AN15" s="12">
        <f t="shared" si="11"/>
        <v>-1109715.72</v>
      </c>
      <c r="AO15" s="50">
        <f t="shared" si="16"/>
        <v>-35.506946137612793</v>
      </c>
      <c r="AP15" s="12">
        <f t="shared" si="17"/>
        <v>-432603.66999999987</v>
      </c>
      <c r="AQ15" s="12">
        <f t="shared" si="18"/>
        <v>-205.02776109830489</v>
      </c>
      <c r="AR15" s="39">
        <f>AD15</f>
        <v>-290779.30999999988</v>
      </c>
    </row>
    <row r="16" spans="1:44" s="10" customFormat="1" ht="26.25" customHeight="1" x14ac:dyDescent="0.3">
      <c r="A16" s="9"/>
      <c r="B16" s="104" t="s">
        <v>22</v>
      </c>
      <c r="C16" s="104"/>
      <c r="D16" s="104"/>
      <c r="E16" s="104"/>
      <c r="F16" s="104"/>
      <c r="G16" s="104"/>
      <c r="H16" s="104"/>
      <c r="I16" s="104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10337374.24</v>
      </c>
      <c r="T16" s="12">
        <v>11630065.210000001</v>
      </c>
      <c r="U16" s="12">
        <f>T16</f>
        <v>11630065.210000001</v>
      </c>
      <c r="V16" s="12">
        <v>1111658.3</v>
      </c>
      <c r="W16" s="12">
        <f>V16</f>
        <v>1111658.3</v>
      </c>
      <c r="X16" s="12">
        <v>15443000</v>
      </c>
      <c r="Y16" s="12">
        <v>15443000</v>
      </c>
      <c r="Z16" s="12">
        <v>1634619.07</v>
      </c>
      <c r="AA16" s="12">
        <v>81076.899999999994</v>
      </c>
      <c r="AB16" s="12">
        <v>23729.13</v>
      </c>
      <c r="AC16" s="12">
        <v>-282402.17000000004</v>
      </c>
      <c r="AD16" s="12">
        <f t="shared" si="19"/>
        <v>-258673.04000000004</v>
      </c>
      <c r="AE16" s="12">
        <f t="shared" si="8"/>
        <v>-57347.76999999999</v>
      </c>
      <c r="AF16" s="50">
        <f t="shared" si="2"/>
        <v>-15701673.039999999</v>
      </c>
      <c r="AG16" s="50">
        <f t="shared" si="3"/>
        <v>-1.6750180664378684</v>
      </c>
      <c r="AH16" s="12">
        <f t="shared" si="4"/>
        <v>-15701673.039999999</v>
      </c>
      <c r="AI16" s="50">
        <f t="shared" si="15"/>
        <v>-1.6750180664378684</v>
      </c>
      <c r="AJ16" s="12" t="e">
        <f>AD16-#REF!</f>
        <v>#REF!</v>
      </c>
      <c r="AK16" s="12" t="e">
        <f>IF(#REF!=0,0,AD16/#REF!*100)</f>
        <v>#REF!</v>
      </c>
      <c r="AL16" s="50">
        <f t="shared" si="9"/>
        <v>-1893292.11</v>
      </c>
      <c r="AM16" s="50">
        <f t="shared" si="10"/>
        <v>-15.824667945419236</v>
      </c>
      <c r="AN16" s="12">
        <f t="shared" si="11"/>
        <v>-1370331.34</v>
      </c>
      <c r="AO16" s="50">
        <f t="shared" si="16"/>
        <v>-23.269114259300725</v>
      </c>
      <c r="AP16" s="12">
        <f t="shared" si="17"/>
        <v>-1419351.93</v>
      </c>
      <c r="AQ16" s="12">
        <f t="shared" si="18"/>
        <v>-22.28635690961865</v>
      </c>
      <c r="AR16" s="39">
        <v>11117000</v>
      </c>
    </row>
    <row r="17" spans="1:44" s="10" customFormat="1" ht="18.75" x14ac:dyDescent="0.3">
      <c r="A17" s="9"/>
      <c r="B17" s="104" t="s">
        <v>20</v>
      </c>
      <c r="C17" s="104"/>
      <c r="D17" s="104"/>
      <c r="E17" s="104"/>
      <c r="F17" s="104"/>
      <c r="G17" s="104"/>
      <c r="H17" s="104"/>
      <c r="I17" s="104"/>
      <c r="J17" s="12">
        <f t="shared" ref="J17:AD17" si="27">J18+J19</f>
        <v>59077329.089999996</v>
      </c>
      <c r="K17" s="12">
        <f t="shared" si="27"/>
        <v>59077329.089999996</v>
      </c>
      <c r="L17" s="12">
        <f t="shared" si="27"/>
        <v>13651268.75</v>
      </c>
      <c r="M17" s="12">
        <f t="shared" si="27"/>
        <v>13651268.75</v>
      </c>
      <c r="N17" s="12">
        <f t="shared" si="27"/>
        <v>57000020</v>
      </c>
      <c r="O17" s="12">
        <f t="shared" si="27"/>
        <v>59153838.839999996</v>
      </c>
      <c r="P17" s="12">
        <f t="shared" si="27"/>
        <v>59153838.839999996</v>
      </c>
      <c r="Q17" s="12">
        <v>59153838.839999996</v>
      </c>
      <c r="R17" s="12">
        <f t="shared" si="27"/>
        <v>59153838.839999996</v>
      </c>
      <c r="S17" s="12">
        <f t="shared" ref="S17" si="28">S18+S19</f>
        <v>54827104.629999995</v>
      </c>
      <c r="T17" s="12">
        <f>T18+T19</f>
        <v>56910468.460000008</v>
      </c>
      <c r="U17" s="12">
        <f t="shared" ref="U17:V17" si="29">U18+U19</f>
        <v>56910468.460000008</v>
      </c>
      <c r="V17" s="12">
        <f t="shared" si="29"/>
        <v>6895670.9700000007</v>
      </c>
      <c r="W17" s="12">
        <f t="shared" ref="W17:X17" si="30">W18+W19</f>
        <v>6895670.9700000007</v>
      </c>
      <c r="X17" s="12">
        <f t="shared" si="30"/>
        <v>57489000</v>
      </c>
      <c r="Y17" s="12">
        <f t="shared" si="27"/>
        <v>57489000</v>
      </c>
      <c r="Z17" s="12">
        <f t="shared" si="27"/>
        <v>8017307.71</v>
      </c>
      <c r="AA17" s="12">
        <f t="shared" ref="AA17:AB17" si="31">AA18+AA19</f>
        <v>3335348.31</v>
      </c>
      <c r="AB17" s="12">
        <f t="shared" si="31"/>
        <v>1459467.3299999998</v>
      </c>
      <c r="AC17" s="12">
        <v>1940923.4200000002</v>
      </c>
      <c r="AD17" s="12">
        <f t="shared" si="27"/>
        <v>3400390.75</v>
      </c>
      <c r="AE17" s="12">
        <f t="shared" si="8"/>
        <v>-1875880.9800000002</v>
      </c>
      <c r="AF17" s="50">
        <f t="shared" si="2"/>
        <v>-54088609.25</v>
      </c>
      <c r="AG17" s="50">
        <f t="shared" si="3"/>
        <v>5.9148545808763417</v>
      </c>
      <c r="AH17" s="12">
        <f t="shared" si="4"/>
        <v>-54088609.25</v>
      </c>
      <c r="AI17" s="50">
        <f t="shared" si="15"/>
        <v>5.9148545808763417</v>
      </c>
      <c r="AJ17" s="12" t="e">
        <f>AD17-#REF!</f>
        <v>#REF!</v>
      </c>
      <c r="AK17" s="12" t="e">
        <f>IF(#REF!=0,0,AD17/#REF!*100)</f>
        <v>#REF!</v>
      </c>
      <c r="AL17" s="50">
        <f t="shared" si="9"/>
        <v>-4616916.96</v>
      </c>
      <c r="AM17" s="50">
        <f t="shared" si="10"/>
        <v>42.4131251162867</v>
      </c>
      <c r="AN17" s="12">
        <f t="shared" si="11"/>
        <v>-3495280.2200000007</v>
      </c>
      <c r="AO17" s="50">
        <f t="shared" si="16"/>
        <v>49.311963473802457</v>
      </c>
      <c r="AP17" s="12">
        <f t="shared" si="17"/>
        <v>-10250878</v>
      </c>
      <c r="AQ17" s="12">
        <f t="shared" si="18"/>
        <v>24.908972288747886</v>
      </c>
      <c r="AR17" s="39">
        <f>AR18+AR19</f>
        <v>3400390.75</v>
      </c>
    </row>
    <row r="18" spans="1:44" s="5" customFormat="1" ht="64.5" customHeight="1" x14ac:dyDescent="0.3">
      <c r="A18" s="4"/>
      <c r="B18" s="46"/>
      <c r="C18" s="46"/>
      <c r="D18" s="46"/>
      <c r="E18" s="46"/>
      <c r="F18" s="46"/>
      <c r="G18" s="46"/>
      <c r="H18" s="46"/>
      <c r="I18" s="62" t="s">
        <v>36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8">
        <v>25159321.25</v>
      </c>
      <c r="R18" s="13">
        <f>Q18</f>
        <v>25159321.25</v>
      </c>
      <c r="S18" s="59">
        <v>22374391.359999999</v>
      </c>
      <c r="T18" s="13">
        <v>22769251.010000002</v>
      </c>
      <c r="U18" s="13">
        <f>T18</f>
        <v>22769251.010000002</v>
      </c>
      <c r="V18" s="59">
        <v>4155035.85</v>
      </c>
      <c r="W18" s="13">
        <f>V18</f>
        <v>4155035.85</v>
      </c>
      <c r="X18" s="76">
        <v>23363753.050000001</v>
      </c>
      <c r="Y18" s="76">
        <v>23363753.050000001</v>
      </c>
      <c r="Z18" s="17">
        <v>4815896.3</v>
      </c>
      <c r="AA18" s="13">
        <v>3038547.69</v>
      </c>
      <c r="AB18" s="13">
        <v>395473.41</v>
      </c>
      <c r="AC18" s="13">
        <v>3054550</v>
      </c>
      <c r="AD18" s="13">
        <f t="shared" si="19"/>
        <v>3450023.41</v>
      </c>
      <c r="AE18" s="13">
        <f t="shared" si="8"/>
        <v>-2643074.2799999998</v>
      </c>
      <c r="AF18" s="50">
        <f t="shared" si="2"/>
        <v>-19913729.640000001</v>
      </c>
      <c r="AG18" s="50">
        <f t="shared" si="3"/>
        <v>14.76656341392035</v>
      </c>
      <c r="AH18" s="13">
        <f t="shared" si="4"/>
        <v>-19913729.640000001</v>
      </c>
      <c r="AI18" s="50">
        <f t="shared" si="15"/>
        <v>14.766563413920352</v>
      </c>
      <c r="AJ18" s="13" t="e">
        <f>AD18-#REF!</f>
        <v>#REF!</v>
      </c>
      <c r="AK18" s="13" t="e">
        <f>IF(#REF!=0,0,AD18/#REF!*100)</f>
        <v>#REF!</v>
      </c>
      <c r="AL18" s="50">
        <f t="shared" si="9"/>
        <v>-1365872.8899999997</v>
      </c>
      <c r="AM18" s="50">
        <f t="shared" si="10"/>
        <v>71.638241255319386</v>
      </c>
      <c r="AN18" s="13">
        <f t="shared" si="11"/>
        <v>-705012.44</v>
      </c>
      <c r="AO18" s="50">
        <f t="shared" si="16"/>
        <v>83.032337976097125</v>
      </c>
      <c r="AP18" s="13">
        <f t="shared" si="17"/>
        <v>-6635593.0999999996</v>
      </c>
      <c r="AQ18" s="13">
        <f t="shared" si="18"/>
        <v>34.207362599790144</v>
      </c>
      <c r="AR18" s="36">
        <f>AD18</f>
        <v>3450023.41</v>
      </c>
    </row>
    <row r="19" spans="1:44" s="5" customFormat="1" ht="63.75" customHeight="1" x14ac:dyDescent="0.3">
      <c r="A19" s="4"/>
      <c r="B19" s="46" t="s">
        <v>8</v>
      </c>
      <c r="C19" s="46" t="s">
        <v>21</v>
      </c>
      <c r="D19" s="46" t="s">
        <v>20</v>
      </c>
      <c r="E19" s="46"/>
      <c r="F19" s="46"/>
      <c r="G19" s="6"/>
      <c r="H19" s="6"/>
      <c r="I19" s="62" t="s">
        <v>37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59">
        <v>32452713.27</v>
      </c>
      <c r="T19" s="13">
        <v>34141217.450000003</v>
      </c>
      <c r="U19" s="13">
        <f>T19</f>
        <v>34141217.450000003</v>
      </c>
      <c r="V19" s="59">
        <v>2740635.12</v>
      </c>
      <c r="W19" s="13">
        <f>V19</f>
        <v>2740635.12</v>
      </c>
      <c r="X19" s="76">
        <v>34125246.950000003</v>
      </c>
      <c r="Y19" s="76">
        <v>34125246.950000003</v>
      </c>
      <c r="Z19" s="17">
        <v>3201411.41</v>
      </c>
      <c r="AA19" s="13">
        <v>296800.62</v>
      </c>
      <c r="AB19" s="13">
        <v>1063993.92</v>
      </c>
      <c r="AC19" s="13">
        <v>-1113626.58</v>
      </c>
      <c r="AD19" s="13">
        <f t="shared" si="19"/>
        <v>-49632.660000000149</v>
      </c>
      <c r="AE19" s="13">
        <f t="shared" si="8"/>
        <v>767193.29999999993</v>
      </c>
      <c r="AF19" s="50">
        <f t="shared" si="2"/>
        <v>-34174879.609999999</v>
      </c>
      <c r="AG19" s="50">
        <f t="shared" si="3"/>
        <v>-0.145442639793117</v>
      </c>
      <c r="AH19" s="13">
        <f t="shared" si="4"/>
        <v>-34174879.609999999</v>
      </c>
      <c r="AI19" s="50">
        <f t="shared" si="15"/>
        <v>-0.145442639793117</v>
      </c>
      <c r="AJ19" s="13" t="e">
        <f>AD19-#REF!</f>
        <v>#REF!</v>
      </c>
      <c r="AK19" s="13" t="e">
        <f>IF(#REF!=0,0,AD19/#REF!*100)</f>
        <v>#REF!</v>
      </c>
      <c r="AL19" s="50">
        <f t="shared" si="9"/>
        <v>-3251044.0700000003</v>
      </c>
      <c r="AM19" s="50">
        <f t="shared" si="10"/>
        <v>-1.5503368247194493</v>
      </c>
      <c r="AN19" s="13">
        <f t="shared" si="11"/>
        <v>-2790267.7800000003</v>
      </c>
      <c r="AO19" s="50">
        <f t="shared" si="16"/>
        <v>-1.8109911690834695</v>
      </c>
      <c r="AP19" s="13">
        <f t="shared" si="17"/>
        <v>-3615284.9000000004</v>
      </c>
      <c r="AQ19" s="13">
        <f t="shared" si="18"/>
        <v>-1.3919658076358044</v>
      </c>
      <c r="AR19" s="36">
        <f>AD19</f>
        <v>-49632.660000000149</v>
      </c>
    </row>
    <row r="20" spans="1:44" s="10" customFormat="1" ht="29.25" customHeight="1" x14ac:dyDescent="0.3">
      <c r="A20" s="9"/>
      <c r="B20" s="104" t="s">
        <v>19</v>
      </c>
      <c r="C20" s="104"/>
      <c r="D20" s="104"/>
      <c r="E20" s="104"/>
      <c r="F20" s="104"/>
      <c r="G20" s="104"/>
      <c r="H20" s="104"/>
      <c r="I20" s="104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6908000</v>
      </c>
      <c r="T20" s="12">
        <v>7412267.6299999999</v>
      </c>
      <c r="U20" s="12">
        <f>T20</f>
        <v>7412267.6299999999</v>
      </c>
      <c r="V20" s="12">
        <v>1262360.3899999999</v>
      </c>
      <c r="W20" s="12">
        <f>V20</f>
        <v>1262360.3899999999</v>
      </c>
      <c r="X20" s="12">
        <v>7706000</v>
      </c>
      <c r="Y20" s="12">
        <v>7706000</v>
      </c>
      <c r="Z20" s="12">
        <v>1843873.71</v>
      </c>
      <c r="AA20" s="12">
        <v>75059.97</v>
      </c>
      <c r="AB20" s="12">
        <v>99458.63</v>
      </c>
      <c r="AC20" s="12">
        <v>828336.3600000001</v>
      </c>
      <c r="AD20" s="12">
        <f t="shared" si="19"/>
        <v>927794.99000000011</v>
      </c>
      <c r="AE20" s="12">
        <f t="shared" si="8"/>
        <v>24398.660000000003</v>
      </c>
      <c r="AF20" s="50">
        <f t="shared" si="2"/>
        <v>-6778205.0099999998</v>
      </c>
      <c r="AG20" s="50">
        <f t="shared" si="3"/>
        <v>12.039903841162731</v>
      </c>
      <c r="AH20" s="12">
        <f t="shared" si="4"/>
        <v>-6778205.0099999998</v>
      </c>
      <c r="AI20" s="50">
        <f t="shared" si="15"/>
        <v>12.039903841162731</v>
      </c>
      <c r="AJ20" s="12" t="e">
        <f>AD20-#REF!</f>
        <v>#REF!</v>
      </c>
      <c r="AK20" s="12" t="e">
        <f>IF(#REF!=0,0,AD20/#REF!*100)</f>
        <v>#REF!</v>
      </c>
      <c r="AL20" s="50">
        <f t="shared" si="9"/>
        <v>-916078.71999999986</v>
      </c>
      <c r="AM20" s="50">
        <f t="shared" si="10"/>
        <v>50.317708038692089</v>
      </c>
      <c r="AN20" s="12">
        <f t="shared" si="11"/>
        <v>-334565.39999999979</v>
      </c>
      <c r="AO20" s="50">
        <f t="shared" si="16"/>
        <v>73.496839519814159</v>
      </c>
      <c r="AP20" s="12">
        <f t="shared" si="17"/>
        <v>-2146224.4699999997</v>
      </c>
      <c r="AQ20" s="12">
        <f t="shared" si="18"/>
        <v>30.181819018152865</v>
      </c>
      <c r="AR20" s="39">
        <f>AD20</f>
        <v>927794.99000000011</v>
      </c>
    </row>
    <row r="21" spans="1:44" s="10" customFormat="1" ht="62.25" customHeight="1" x14ac:dyDescent="0.3">
      <c r="A21" s="9"/>
      <c r="B21" s="110" t="s">
        <v>63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1"/>
      <c r="N21" s="12"/>
      <c r="O21" s="12"/>
      <c r="P21" s="12">
        <v>0</v>
      </c>
      <c r="Q21" s="12"/>
      <c r="R21" s="12">
        <v>0</v>
      </c>
      <c r="S21" s="12">
        <v>0</v>
      </c>
      <c r="T21" s="12">
        <v>-18.84</v>
      </c>
      <c r="U21" s="12">
        <f>T21</f>
        <v>-18.84</v>
      </c>
      <c r="V21" s="12">
        <v>0</v>
      </c>
      <c r="W21" s="12">
        <f>V21</f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f t="shared" si="19"/>
        <v>0</v>
      </c>
      <c r="AE21" s="12">
        <v>0</v>
      </c>
      <c r="AF21" s="50">
        <f t="shared" si="2"/>
        <v>0</v>
      </c>
      <c r="AG21" s="50">
        <v>0</v>
      </c>
      <c r="AH21" s="12">
        <f t="shared" si="4"/>
        <v>0</v>
      </c>
      <c r="AI21" s="50">
        <v>0</v>
      </c>
      <c r="AJ21" s="12"/>
      <c r="AK21" s="12"/>
      <c r="AL21" s="50">
        <f t="shared" si="9"/>
        <v>0</v>
      </c>
      <c r="AM21" s="50">
        <v>0</v>
      </c>
      <c r="AN21" s="12">
        <f t="shared" si="11"/>
        <v>0</v>
      </c>
      <c r="AO21" s="50">
        <v>0</v>
      </c>
      <c r="AP21" s="12"/>
      <c r="AQ21" s="12"/>
      <c r="AR21" s="39"/>
    </row>
    <row r="22" spans="1:44" s="10" customFormat="1" ht="37.5" customHeight="1" x14ac:dyDescent="0.3">
      <c r="A22" s="9"/>
      <c r="B22" s="77"/>
      <c r="C22" s="77"/>
      <c r="D22" s="77"/>
      <c r="E22" s="77"/>
      <c r="F22" s="77"/>
      <c r="G22" s="77"/>
      <c r="H22" s="77"/>
      <c r="I22" s="84" t="s">
        <v>86</v>
      </c>
      <c r="J22" s="84"/>
      <c r="K22" s="84"/>
      <c r="L22" s="84"/>
      <c r="M22" s="85"/>
      <c r="N22" s="81"/>
      <c r="O22" s="81"/>
      <c r="P22" s="81"/>
      <c r="Q22" s="81"/>
      <c r="R22" s="81"/>
      <c r="S22" s="81"/>
      <c r="T22" s="81">
        <f>T23+T33+T34+T42+T45+T47</f>
        <v>87288552.75</v>
      </c>
      <c r="U22" s="81">
        <f t="shared" ref="U22:Z22" si="32">U23+U33+U34+U42+U45+U47</f>
        <v>87288552.75</v>
      </c>
      <c r="V22" s="81">
        <f t="shared" si="32"/>
        <v>10125776.929999998</v>
      </c>
      <c r="W22" s="81">
        <f t="shared" si="32"/>
        <v>10125776.929999998</v>
      </c>
      <c r="X22" s="81">
        <f t="shared" si="32"/>
        <v>76980199.650000006</v>
      </c>
      <c r="Y22" s="81">
        <f t="shared" si="32"/>
        <v>78802708.450000003</v>
      </c>
      <c r="Z22" s="81">
        <f t="shared" si="32"/>
        <v>13399110.150000002</v>
      </c>
      <c r="AA22" s="81">
        <f t="shared" ref="AA22:AB22" si="33">AA23+AA33+AA34+AA42+AA45+AA47</f>
        <v>1357541.97</v>
      </c>
      <c r="AB22" s="81">
        <f t="shared" si="33"/>
        <v>4844717.87</v>
      </c>
      <c r="AC22" s="81">
        <v>11198364.25</v>
      </c>
      <c r="AD22" s="81">
        <f>AD23+AD33+AD34+AD42+AD45+AD47</f>
        <v>16043082.119999999</v>
      </c>
      <c r="AE22" s="81">
        <f t="shared" ref="AE22" si="34">AB22-AA22</f>
        <v>3487175.9000000004</v>
      </c>
      <c r="AF22" s="82">
        <f t="shared" ref="AF22" si="35">AD22-X22</f>
        <v>-60937117.530000009</v>
      </c>
      <c r="AG22" s="82">
        <f t="shared" ref="AG22" si="36">AD22/X22*100</f>
        <v>20.84053067274683</v>
      </c>
      <c r="AH22" s="81">
        <f t="shared" ref="AH22" si="37">AD22-Y22</f>
        <v>-62759626.330000006</v>
      </c>
      <c r="AI22" s="82">
        <f t="shared" ref="AI22" si="38">AD22/Y22%</f>
        <v>20.358541521677861</v>
      </c>
      <c r="AJ22" s="81" t="e">
        <f>AD22-#REF!</f>
        <v>#REF!</v>
      </c>
      <c r="AK22" s="81" t="e">
        <f>IF(#REF!=0,0,AD22/#REF!*100)</f>
        <v>#REF!</v>
      </c>
      <c r="AL22" s="82">
        <f t="shared" ref="AL22" si="39">AD22-Z22</f>
        <v>2643971.9699999969</v>
      </c>
      <c r="AM22" s="82">
        <f t="shared" ref="AM22" si="40">AD22/Z22*100</f>
        <v>119.73244447132183</v>
      </c>
      <c r="AN22" s="81">
        <f t="shared" ref="AN22" si="41">AD22-W22</f>
        <v>5917305.1900000013</v>
      </c>
      <c r="AO22" s="82">
        <f t="shared" ref="AO22" si="42">AD22/W22%</f>
        <v>158.43803622089078</v>
      </c>
      <c r="AP22" s="12"/>
      <c r="AQ22" s="12"/>
      <c r="AR22" s="39"/>
    </row>
    <row r="23" spans="1:44" s="10" customFormat="1" ht="83.25" customHeight="1" x14ac:dyDescent="0.3">
      <c r="A23" s="9"/>
      <c r="B23" s="104" t="s">
        <v>17</v>
      </c>
      <c r="C23" s="104"/>
      <c r="D23" s="104"/>
      <c r="E23" s="104"/>
      <c r="F23" s="104"/>
      <c r="G23" s="104"/>
      <c r="H23" s="104"/>
      <c r="I23" s="104"/>
      <c r="J23" s="66">
        <f t="shared" ref="J23:AD23" si="43">J24+J27+J29+J31</f>
        <v>39449619.330000006</v>
      </c>
      <c r="K23" s="66">
        <f t="shared" si="43"/>
        <v>39449619.330000006</v>
      </c>
      <c r="L23" s="66">
        <f t="shared" si="43"/>
        <v>10238465.989999998</v>
      </c>
      <c r="M23" s="66">
        <f t="shared" si="43"/>
        <v>10238465.989999998</v>
      </c>
      <c r="N23" s="12">
        <f t="shared" si="43"/>
        <v>42188190.339999996</v>
      </c>
      <c r="O23" s="12">
        <f t="shared" si="43"/>
        <v>49536681.379999995</v>
      </c>
      <c r="P23" s="12">
        <f t="shared" si="43"/>
        <v>49536681.379999988</v>
      </c>
      <c r="Q23" s="12">
        <v>49536681.379999995</v>
      </c>
      <c r="R23" s="12">
        <f>R24+R27+R29+R31</f>
        <v>49536681.379999995</v>
      </c>
      <c r="S23" s="12">
        <f t="shared" ref="S23" si="44">S24+S27+S29+S31</f>
        <v>44769945.039999999</v>
      </c>
      <c r="T23" s="12">
        <f>T24+T27+T29+T31</f>
        <v>46932434.269999996</v>
      </c>
      <c r="U23" s="12">
        <f>U24+U27+U29+U31</f>
        <v>46932434.269999996</v>
      </c>
      <c r="V23" s="12">
        <f t="shared" ref="V23" si="45">V24+V27+V29+V31</f>
        <v>2723014.25</v>
      </c>
      <c r="W23" s="12">
        <f>W24+W27+W29+W31</f>
        <v>2723014.25</v>
      </c>
      <c r="X23" s="12">
        <f t="shared" ref="X23" si="46">X24+X27+X29+X31</f>
        <v>47029000</v>
      </c>
      <c r="Y23" s="12">
        <f t="shared" si="43"/>
        <v>47029000</v>
      </c>
      <c r="Z23" s="12">
        <f t="shared" si="43"/>
        <v>4973403.53</v>
      </c>
      <c r="AA23" s="12">
        <f t="shared" ref="AA23" si="47">AA24+AA27+AA29+AA31</f>
        <v>272498.13000000006</v>
      </c>
      <c r="AB23" s="12">
        <f>AB24+AB27+AB29+AB31</f>
        <v>3135288.1900000004</v>
      </c>
      <c r="AC23" s="12">
        <v>2566489.44</v>
      </c>
      <c r="AD23" s="12">
        <f t="shared" si="43"/>
        <v>5701777.629999999</v>
      </c>
      <c r="AE23" s="12">
        <f t="shared" si="8"/>
        <v>2862790.0600000005</v>
      </c>
      <c r="AF23" s="50">
        <f t="shared" si="2"/>
        <v>-41327222.370000005</v>
      </c>
      <c r="AG23" s="50">
        <f t="shared" si="3"/>
        <v>12.123961024048988</v>
      </c>
      <c r="AH23" s="12">
        <f t="shared" si="4"/>
        <v>-41327222.370000005</v>
      </c>
      <c r="AI23" s="50">
        <f t="shared" si="15"/>
        <v>12.123961024048988</v>
      </c>
      <c r="AJ23" s="12" t="e">
        <f>AD23-#REF!</f>
        <v>#REF!</v>
      </c>
      <c r="AK23" s="12" t="e">
        <f>IF(#REF!=0,0,AD23/#REF!*100)</f>
        <v>#REF!</v>
      </c>
      <c r="AL23" s="50">
        <f t="shared" si="9"/>
        <v>728374.0999999987</v>
      </c>
      <c r="AM23" s="50">
        <f t="shared" si="10"/>
        <v>114.64538510913872</v>
      </c>
      <c r="AN23" s="12">
        <f t="shared" si="11"/>
        <v>2978763.379999999</v>
      </c>
      <c r="AO23" s="50">
        <f t="shared" si="16"/>
        <v>209.39213336838023</v>
      </c>
      <c r="AP23" s="12">
        <f>AD23-M23</f>
        <v>-4536688.3599999994</v>
      </c>
      <c r="AQ23" s="12">
        <f>IF(M23=0,0,AD23/M23*100)</f>
        <v>55.689764810167617</v>
      </c>
      <c r="AR23" s="39">
        <f>AR24+AR27+AR29+AR31</f>
        <v>5701777.629999999</v>
      </c>
    </row>
    <row r="24" spans="1:44" s="5" customFormat="1" ht="114.75" customHeight="1" x14ac:dyDescent="0.3">
      <c r="A24" s="4"/>
      <c r="B24" s="46"/>
      <c r="C24" s="46"/>
      <c r="D24" s="46"/>
      <c r="E24" s="46"/>
      <c r="F24" s="46"/>
      <c r="G24" s="46"/>
      <c r="H24" s="46"/>
      <c r="I24" s="62" t="s">
        <v>18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9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3">
        <f t="shared" ref="S24:Z24" si="48">S25+S26</f>
        <v>42050829.689999998</v>
      </c>
      <c r="T24" s="13">
        <f t="shared" si="48"/>
        <v>44043460.589999996</v>
      </c>
      <c r="U24" s="13">
        <f t="shared" si="48"/>
        <v>44043460.589999996</v>
      </c>
      <c r="V24" s="13">
        <f t="shared" si="48"/>
        <v>2465144.88</v>
      </c>
      <c r="W24" s="13">
        <f t="shared" si="48"/>
        <v>2465144.88</v>
      </c>
      <c r="X24" s="13">
        <f t="shared" si="48"/>
        <v>46880510</v>
      </c>
      <c r="Y24" s="13">
        <f t="shared" si="48"/>
        <v>46880510</v>
      </c>
      <c r="Z24" s="13">
        <f t="shared" si="48"/>
        <v>4968627.53</v>
      </c>
      <c r="AA24" s="13">
        <f t="shared" ref="AA24" si="49">AA25+AA26</f>
        <v>230840.71000000002</v>
      </c>
      <c r="AB24" s="13">
        <f>AB25+AB26</f>
        <v>3091741.45</v>
      </c>
      <c r="AC24" s="13">
        <v>2210022.69</v>
      </c>
      <c r="AD24" s="13">
        <f t="shared" ref="AD24" si="50">AD25+AD26</f>
        <v>5301764.1399999997</v>
      </c>
      <c r="AE24" s="13">
        <f>AB24-AA24</f>
        <v>2860900.74</v>
      </c>
      <c r="AF24" s="50">
        <f t="shared" si="2"/>
        <v>-41578745.859999999</v>
      </c>
      <c r="AG24" s="50">
        <f t="shared" si="3"/>
        <v>11.309100818229153</v>
      </c>
      <c r="AH24" s="12">
        <f t="shared" si="4"/>
        <v>-41578745.859999999</v>
      </c>
      <c r="AI24" s="50">
        <f t="shared" si="15"/>
        <v>11.309100818229153</v>
      </c>
      <c r="AJ24" s="13" t="e">
        <f>AD24-#REF!</f>
        <v>#REF!</v>
      </c>
      <c r="AK24" s="12" t="e">
        <f>IF(#REF!=0,0,AD24/#REF!*100)</f>
        <v>#REF!</v>
      </c>
      <c r="AL24" s="50">
        <f t="shared" si="9"/>
        <v>333136.6099999994</v>
      </c>
      <c r="AM24" s="50">
        <f t="shared" si="10"/>
        <v>106.70480143638376</v>
      </c>
      <c r="AN24" s="13">
        <f t="shared" si="11"/>
        <v>2836619.26</v>
      </c>
      <c r="AO24" s="50">
        <f t="shared" si="16"/>
        <v>215.06906888166347</v>
      </c>
      <c r="AP24" s="12">
        <f>AD24-M24</f>
        <v>-4566380.47</v>
      </c>
      <c r="AQ24" s="12">
        <f>IF(M24=0,0,AD24/M24*100)</f>
        <v>53.726048305244689</v>
      </c>
      <c r="AR24" s="36">
        <f>AD24</f>
        <v>5301764.1399999997</v>
      </c>
    </row>
    <row r="25" spans="1:44" s="5" customFormat="1" ht="37.5" customHeight="1" x14ac:dyDescent="0.3">
      <c r="A25" s="4"/>
      <c r="B25" s="46"/>
      <c r="C25" s="46"/>
      <c r="D25" s="46"/>
      <c r="E25" s="46"/>
      <c r="F25" s="46"/>
      <c r="G25" s="46"/>
      <c r="H25" s="46"/>
      <c r="I25" s="69" t="s">
        <v>75</v>
      </c>
      <c r="J25" s="13"/>
      <c r="K25" s="13"/>
      <c r="L25" s="13"/>
      <c r="M25" s="13"/>
      <c r="N25" s="19"/>
      <c r="O25" s="13"/>
      <c r="P25" s="13">
        <v>34814978.960000001</v>
      </c>
      <c r="Q25" s="13"/>
      <c r="R25" s="13">
        <f>Q25</f>
        <v>0</v>
      </c>
      <c r="S25" s="13">
        <v>28869411.559999999</v>
      </c>
      <c r="T25" s="12">
        <v>29761276.809999999</v>
      </c>
      <c r="U25" s="12">
        <v>29761276.809999999</v>
      </c>
      <c r="V25" s="13">
        <v>481532.05</v>
      </c>
      <c r="W25" s="12">
        <f>V25</f>
        <v>481532.05</v>
      </c>
      <c r="X25" s="13">
        <v>34696660</v>
      </c>
      <c r="Y25" s="13">
        <v>34696660</v>
      </c>
      <c r="Z25" s="13">
        <v>4337082.5</v>
      </c>
      <c r="AA25" s="13">
        <v>213412.54</v>
      </c>
      <c r="AB25" s="13">
        <v>2924202.79</v>
      </c>
      <c r="AC25" s="13">
        <v>766004.9</v>
      </c>
      <c r="AD25" s="13">
        <f t="shared" si="19"/>
        <v>3690207.69</v>
      </c>
      <c r="AE25" s="13">
        <f>AB25-AA25</f>
        <v>2710790.25</v>
      </c>
      <c r="AF25" s="50">
        <f t="shared" si="2"/>
        <v>-31006452.309999999</v>
      </c>
      <c r="AG25" s="50">
        <f t="shared" si="3"/>
        <v>10.63562801145701</v>
      </c>
      <c r="AH25" s="12">
        <f t="shared" si="4"/>
        <v>-31006452.309999999</v>
      </c>
      <c r="AI25" s="50">
        <f t="shared" si="15"/>
        <v>10.635628011457012</v>
      </c>
      <c r="AJ25" s="13"/>
      <c r="AK25" s="12"/>
      <c r="AL25" s="50">
        <f t="shared" si="9"/>
        <v>-646874.81000000006</v>
      </c>
      <c r="AM25" s="50">
        <v>0</v>
      </c>
      <c r="AN25" s="13">
        <f t="shared" si="11"/>
        <v>3208675.64</v>
      </c>
      <c r="AO25" s="50">
        <v>0</v>
      </c>
      <c r="AP25" s="12"/>
      <c r="AQ25" s="12"/>
      <c r="AR25" s="36"/>
    </row>
    <row r="26" spans="1:44" s="5" customFormat="1" ht="38.25" customHeight="1" x14ac:dyDescent="0.3">
      <c r="A26" s="4"/>
      <c r="B26" s="46"/>
      <c r="C26" s="46"/>
      <c r="D26" s="46"/>
      <c r="E26" s="46"/>
      <c r="F26" s="46"/>
      <c r="G26" s="46"/>
      <c r="H26" s="46"/>
      <c r="I26" s="69" t="s">
        <v>71</v>
      </c>
      <c r="J26" s="13"/>
      <c r="K26" s="13"/>
      <c r="L26" s="13"/>
      <c r="M26" s="13"/>
      <c r="N26" s="19"/>
      <c r="O26" s="13"/>
      <c r="P26" s="13">
        <v>12977305.199999999</v>
      </c>
      <c r="Q26" s="13"/>
      <c r="R26" s="13">
        <f>Q26</f>
        <v>0</v>
      </c>
      <c r="S26" s="13">
        <v>13181418.130000001</v>
      </c>
      <c r="T26" s="12">
        <v>14282183.779999999</v>
      </c>
      <c r="U26" s="12">
        <v>14282183.779999999</v>
      </c>
      <c r="V26" s="17">
        <v>1983612.83</v>
      </c>
      <c r="W26" s="12">
        <f>V26</f>
        <v>1983612.83</v>
      </c>
      <c r="X26" s="13">
        <v>12183850</v>
      </c>
      <c r="Y26" s="13">
        <v>12183850</v>
      </c>
      <c r="Z26" s="13">
        <v>631545.03</v>
      </c>
      <c r="AA26" s="13">
        <v>17428.169999999998</v>
      </c>
      <c r="AB26" s="13">
        <v>167538.66</v>
      </c>
      <c r="AC26" s="13">
        <v>1444017.79</v>
      </c>
      <c r="AD26" s="13">
        <f t="shared" si="19"/>
        <v>1611556.45</v>
      </c>
      <c r="AE26" s="13">
        <f>AB26-AA26</f>
        <v>150110.49</v>
      </c>
      <c r="AF26" s="50">
        <f t="shared" si="2"/>
        <v>-10572293.550000001</v>
      </c>
      <c r="AG26" s="50">
        <f t="shared" si="3"/>
        <v>13.226988595558876</v>
      </c>
      <c r="AH26" s="12">
        <f t="shared" si="4"/>
        <v>-10572293.550000001</v>
      </c>
      <c r="AI26" s="50">
        <f t="shared" si="15"/>
        <v>13.226988595558876</v>
      </c>
      <c r="AJ26" s="13"/>
      <c r="AK26" s="12"/>
      <c r="AL26" s="50">
        <f t="shared" si="9"/>
        <v>980011.41999999993</v>
      </c>
      <c r="AM26" s="50">
        <f t="shared" si="10"/>
        <v>255.17680821587652</v>
      </c>
      <c r="AN26" s="13">
        <f t="shared" si="11"/>
        <v>-372056.38000000012</v>
      </c>
      <c r="AO26" s="50">
        <f t="shared" si="16"/>
        <v>81.24349800661453</v>
      </c>
      <c r="AP26" s="12"/>
      <c r="AQ26" s="12"/>
      <c r="AR26" s="36"/>
    </row>
    <row r="27" spans="1:44" s="5" customFormat="1" ht="69.75" customHeight="1" x14ac:dyDescent="0.3">
      <c r="A27" s="4"/>
      <c r="B27" s="46"/>
      <c r="C27" s="46"/>
      <c r="D27" s="46"/>
      <c r="E27" s="46"/>
      <c r="F27" s="46"/>
      <c r="G27" s="6"/>
      <c r="H27" s="6"/>
      <c r="I27" s="62" t="s">
        <v>38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3">
        <f t="shared" ref="S27:Z27" si="51">S28</f>
        <v>1794725.01</v>
      </c>
      <c r="T27" s="13">
        <f t="shared" si="51"/>
        <v>1903605.01</v>
      </c>
      <c r="U27" s="13">
        <f t="shared" si="51"/>
        <v>1903605.01</v>
      </c>
      <c r="V27" s="13">
        <f t="shared" si="51"/>
        <v>249769.35</v>
      </c>
      <c r="W27" s="13">
        <f t="shared" si="51"/>
        <v>249769.35</v>
      </c>
      <c r="X27" s="13">
        <f t="shared" si="51"/>
        <v>100490</v>
      </c>
      <c r="Y27" s="13">
        <f t="shared" si="51"/>
        <v>100490</v>
      </c>
      <c r="Z27" s="13">
        <f t="shared" si="51"/>
        <v>4776</v>
      </c>
      <c r="AA27" s="13">
        <f>AA28</f>
        <v>34274.339999999997</v>
      </c>
      <c r="AB27" s="13">
        <f>AB28</f>
        <v>27163.33</v>
      </c>
      <c r="AC27" s="13">
        <v>202457.68</v>
      </c>
      <c r="AD27" s="13">
        <f t="shared" ref="AD27" si="52">AD28</f>
        <v>229621.01</v>
      </c>
      <c r="AE27" s="13">
        <f t="shared" si="8"/>
        <v>-7111.0099999999948</v>
      </c>
      <c r="AF27" s="50">
        <f t="shared" si="2"/>
        <v>129131.01000000001</v>
      </c>
      <c r="AG27" s="50">
        <f t="shared" si="3"/>
        <v>228.50135336849439</v>
      </c>
      <c r="AH27" s="12">
        <f t="shared" si="4"/>
        <v>129131.01000000001</v>
      </c>
      <c r="AI27" s="50">
        <f t="shared" si="15"/>
        <v>228.50135336849439</v>
      </c>
      <c r="AJ27" s="13" t="e">
        <f>AD27-#REF!</f>
        <v>#REF!</v>
      </c>
      <c r="AK27" s="12" t="e">
        <f>IF(#REF!=0,0,AD27/#REF!*100)</f>
        <v>#REF!</v>
      </c>
      <c r="AL27" s="50">
        <f t="shared" si="9"/>
        <v>224845.01</v>
      </c>
      <c r="AM27" s="50">
        <v>0</v>
      </c>
      <c r="AN27" s="13">
        <f t="shared" si="11"/>
        <v>-20148.339999999997</v>
      </c>
      <c r="AO27" s="50">
        <v>0</v>
      </c>
      <c r="AP27" s="12">
        <f>AD27-M27</f>
        <v>-104104.83000000002</v>
      </c>
      <c r="AQ27" s="12">
        <f>IF(M27=0,0,AD27/M27*100)</f>
        <v>68.805283402687664</v>
      </c>
      <c r="AR27" s="36">
        <f>AD27</f>
        <v>229621.01</v>
      </c>
    </row>
    <row r="28" spans="1:44" s="5" customFormat="1" ht="43.5" customHeight="1" x14ac:dyDescent="0.3">
      <c r="A28" s="4"/>
      <c r="B28" s="21"/>
      <c r="C28" s="21"/>
      <c r="D28" s="21"/>
      <c r="E28" s="21"/>
      <c r="F28" s="21"/>
      <c r="G28" s="70"/>
      <c r="H28" s="70"/>
      <c r="I28" s="69" t="s">
        <v>71</v>
      </c>
      <c r="J28" s="13"/>
      <c r="K28" s="13"/>
      <c r="L28" s="13"/>
      <c r="M28" s="13"/>
      <c r="N28" s="13"/>
      <c r="O28" s="13"/>
      <c r="P28" s="17">
        <v>1531280.8</v>
      </c>
      <c r="Q28" s="17"/>
      <c r="R28" s="13">
        <f>Q28</f>
        <v>0</v>
      </c>
      <c r="S28" s="17">
        <v>1794725.01</v>
      </c>
      <c r="T28" s="12">
        <v>1903605.01</v>
      </c>
      <c r="U28" s="17">
        <f>T28</f>
        <v>1903605.01</v>
      </c>
      <c r="V28" s="17">
        <v>249769.35</v>
      </c>
      <c r="W28" s="17">
        <f>V28</f>
        <v>249769.35</v>
      </c>
      <c r="X28" s="17">
        <v>100490</v>
      </c>
      <c r="Y28" s="17">
        <v>100490</v>
      </c>
      <c r="Z28" s="17">
        <v>4776</v>
      </c>
      <c r="AA28" s="13">
        <f>11730+22544.34</f>
        <v>34274.339999999997</v>
      </c>
      <c r="AB28" s="13">
        <f>18643.33+8520</f>
        <v>27163.33</v>
      </c>
      <c r="AC28" s="12">
        <v>202457.68</v>
      </c>
      <c r="AD28" s="12">
        <f t="shared" si="19"/>
        <v>229621.01</v>
      </c>
      <c r="AE28" s="13">
        <f>AB28-AA28</f>
        <v>-7111.0099999999948</v>
      </c>
      <c r="AF28" s="50">
        <f t="shared" si="2"/>
        <v>129131.01000000001</v>
      </c>
      <c r="AG28" s="50">
        <f t="shared" si="3"/>
        <v>228.50135336849439</v>
      </c>
      <c r="AH28" s="12">
        <f t="shared" si="4"/>
        <v>129131.01000000001</v>
      </c>
      <c r="AI28" s="50">
        <f t="shared" si="15"/>
        <v>228.50135336849439</v>
      </c>
      <c r="AJ28" s="17"/>
      <c r="AK28" s="42"/>
      <c r="AL28" s="50">
        <f t="shared" si="9"/>
        <v>224845.01</v>
      </c>
      <c r="AM28" s="50">
        <v>0</v>
      </c>
      <c r="AN28" s="13">
        <f t="shared" si="11"/>
        <v>-20148.339999999997</v>
      </c>
      <c r="AO28" s="50">
        <v>0</v>
      </c>
      <c r="AP28" s="12"/>
      <c r="AQ28" s="12"/>
      <c r="AR28" s="36"/>
    </row>
    <row r="29" spans="1:44" s="10" customFormat="1" ht="48" customHeight="1" x14ac:dyDescent="0.3">
      <c r="A29" s="9"/>
      <c r="B29" s="104" t="s">
        <v>16</v>
      </c>
      <c r="C29" s="104"/>
      <c r="D29" s="104"/>
      <c r="E29" s="104"/>
      <c r="F29" s="104"/>
      <c r="G29" s="104"/>
      <c r="H29" s="104"/>
      <c r="I29" s="104"/>
      <c r="J29" s="12">
        <f t="shared" ref="J29:AA29" si="53">J30</f>
        <v>13500</v>
      </c>
      <c r="K29" s="12">
        <f t="shared" si="53"/>
        <v>13500</v>
      </c>
      <c r="L29" s="12">
        <f t="shared" si="53"/>
        <v>13500</v>
      </c>
      <c r="M29" s="12">
        <f t="shared" si="53"/>
        <v>13500</v>
      </c>
      <c r="N29" s="12">
        <f t="shared" si="53"/>
        <v>145882.54999999999</v>
      </c>
      <c r="O29" s="12">
        <f t="shared" si="53"/>
        <v>145882.54999999999</v>
      </c>
      <c r="P29" s="12">
        <f t="shared" si="53"/>
        <v>145882.54999999999</v>
      </c>
      <c r="Q29" s="12">
        <v>145882.54999999999</v>
      </c>
      <c r="R29" s="12">
        <f t="shared" si="53"/>
        <v>145882.54999999999</v>
      </c>
      <c r="S29" s="12">
        <f t="shared" si="53"/>
        <v>0</v>
      </c>
      <c r="T29" s="12">
        <f t="shared" si="53"/>
        <v>0</v>
      </c>
      <c r="U29" s="12">
        <f>U30</f>
        <v>0</v>
      </c>
      <c r="V29" s="12">
        <f t="shared" ref="V29" si="54">V30</f>
        <v>0</v>
      </c>
      <c r="W29" s="12">
        <f>W30</f>
        <v>0</v>
      </c>
      <c r="X29" s="12">
        <f t="shared" si="53"/>
        <v>0</v>
      </c>
      <c r="Y29" s="12">
        <f t="shared" si="53"/>
        <v>0</v>
      </c>
      <c r="Z29" s="12">
        <f t="shared" si="53"/>
        <v>0</v>
      </c>
      <c r="AA29" s="12">
        <f t="shared" si="53"/>
        <v>0</v>
      </c>
      <c r="AB29" s="12">
        <f>AB30</f>
        <v>0</v>
      </c>
      <c r="AC29" s="12">
        <v>0</v>
      </c>
      <c r="AD29" s="12">
        <f>AD30</f>
        <v>0</v>
      </c>
      <c r="AE29" s="12">
        <f t="shared" si="8"/>
        <v>0</v>
      </c>
      <c r="AF29" s="50">
        <f t="shared" si="2"/>
        <v>0</v>
      </c>
      <c r="AG29" s="50">
        <v>0</v>
      </c>
      <c r="AH29" s="12">
        <f t="shared" si="4"/>
        <v>0</v>
      </c>
      <c r="AI29" s="50">
        <v>0</v>
      </c>
      <c r="AJ29" s="12" t="e">
        <f>AD29-#REF!</f>
        <v>#REF!</v>
      </c>
      <c r="AK29" s="12" t="e">
        <f>IF(#REF!=0,0,AD29/#REF!*100)</f>
        <v>#REF!</v>
      </c>
      <c r="AL29" s="50">
        <f t="shared" si="9"/>
        <v>0</v>
      </c>
      <c r="AM29" s="50">
        <v>0</v>
      </c>
      <c r="AN29" s="12">
        <f t="shared" si="11"/>
        <v>0</v>
      </c>
      <c r="AO29" s="50">
        <v>0</v>
      </c>
      <c r="AP29" s="12">
        <f t="shared" ref="AP29:AP35" si="55">AD29-M29</f>
        <v>-13500</v>
      </c>
      <c r="AQ29" s="12">
        <f t="shared" ref="AQ29:AQ35" si="56">IF(M29=0,0,AD29/M29*100)</f>
        <v>0</v>
      </c>
      <c r="AR29" s="39">
        <f t="shared" ref="AR29" si="57">AR30</f>
        <v>0</v>
      </c>
    </row>
    <row r="30" spans="1:44" s="5" customFormat="1" ht="84.75" customHeight="1" x14ac:dyDescent="0.3">
      <c r="A30" s="4"/>
      <c r="B30" s="46" t="s">
        <v>8</v>
      </c>
      <c r="C30" s="46" t="s">
        <v>17</v>
      </c>
      <c r="D30" s="46" t="s">
        <v>16</v>
      </c>
      <c r="E30" s="46"/>
      <c r="F30" s="46"/>
      <c r="G30" s="6"/>
      <c r="H30" s="6"/>
      <c r="I30" s="67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0</v>
      </c>
      <c r="T30" s="13">
        <v>0</v>
      </c>
      <c r="U30" s="13">
        <f>T30</f>
        <v>0</v>
      </c>
      <c r="V30" s="13">
        <v>0</v>
      </c>
      <c r="W30" s="13">
        <f>V30</f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f t="shared" si="19"/>
        <v>0</v>
      </c>
      <c r="AE30" s="13">
        <f t="shared" si="8"/>
        <v>0</v>
      </c>
      <c r="AF30" s="50">
        <f t="shared" si="2"/>
        <v>0</v>
      </c>
      <c r="AG30" s="50">
        <v>0</v>
      </c>
      <c r="AH30" s="12">
        <f t="shared" si="4"/>
        <v>0</v>
      </c>
      <c r="AI30" s="50">
        <v>0</v>
      </c>
      <c r="AJ30" s="13" t="e">
        <f>AD30-#REF!</f>
        <v>#REF!</v>
      </c>
      <c r="AK30" s="12" t="e">
        <f>IF(#REF!=0,0,AD30/#REF!*100)</f>
        <v>#REF!</v>
      </c>
      <c r="AL30" s="50">
        <f t="shared" si="9"/>
        <v>0</v>
      </c>
      <c r="AM30" s="50">
        <v>0</v>
      </c>
      <c r="AN30" s="13">
        <f t="shared" si="11"/>
        <v>0</v>
      </c>
      <c r="AO30" s="50">
        <v>0</v>
      </c>
      <c r="AP30" s="12">
        <f t="shared" si="55"/>
        <v>-13500</v>
      </c>
      <c r="AQ30" s="12">
        <f t="shared" si="56"/>
        <v>0</v>
      </c>
      <c r="AR30" s="36">
        <f>AD30</f>
        <v>0</v>
      </c>
    </row>
    <row r="31" spans="1:44" s="10" customFormat="1" ht="58.5" customHeight="1" x14ac:dyDescent="0.3">
      <c r="A31" s="9"/>
      <c r="B31" s="45"/>
      <c r="C31" s="45"/>
      <c r="D31" s="45"/>
      <c r="E31" s="45"/>
      <c r="F31" s="45"/>
      <c r="G31" s="11"/>
      <c r="H31" s="11"/>
      <c r="I31" s="65" t="s">
        <v>44</v>
      </c>
      <c r="J31" s="12">
        <f t="shared" ref="J31:Z31" si="58">J32</f>
        <v>59624.2</v>
      </c>
      <c r="K31" s="12">
        <f t="shared" si="58"/>
        <v>59624.2</v>
      </c>
      <c r="L31" s="12">
        <f t="shared" si="58"/>
        <v>23095.54</v>
      </c>
      <c r="M31" s="12">
        <f t="shared" si="58"/>
        <v>23095.54</v>
      </c>
      <c r="N31" s="12">
        <f t="shared" si="58"/>
        <v>33317.79</v>
      </c>
      <c r="O31" s="12">
        <f t="shared" si="58"/>
        <v>67233.87</v>
      </c>
      <c r="P31" s="12">
        <f t="shared" si="58"/>
        <v>67233.87</v>
      </c>
      <c r="Q31" s="12">
        <v>67233.87</v>
      </c>
      <c r="R31" s="12">
        <f t="shared" si="58"/>
        <v>67233.87</v>
      </c>
      <c r="S31" s="12">
        <f t="shared" si="58"/>
        <v>924390.34</v>
      </c>
      <c r="T31" s="12">
        <f>T32</f>
        <v>985368.67</v>
      </c>
      <c r="U31" s="12">
        <f t="shared" si="58"/>
        <v>985368.67</v>
      </c>
      <c r="V31" s="12">
        <f t="shared" si="58"/>
        <v>8100.02</v>
      </c>
      <c r="W31" s="12">
        <f t="shared" si="58"/>
        <v>8100.02</v>
      </c>
      <c r="X31" s="12">
        <f t="shared" si="58"/>
        <v>48000</v>
      </c>
      <c r="Y31" s="12">
        <f t="shared" si="58"/>
        <v>48000</v>
      </c>
      <c r="Z31" s="12">
        <f t="shared" si="58"/>
        <v>0</v>
      </c>
      <c r="AA31" s="12">
        <f>AA32</f>
        <v>7383.08</v>
      </c>
      <c r="AB31" s="12">
        <f>AB32</f>
        <v>16383.41</v>
      </c>
      <c r="AC31" s="12">
        <v>154009.06999999998</v>
      </c>
      <c r="AD31" s="12">
        <f>AD32</f>
        <v>170392.47999999998</v>
      </c>
      <c r="AE31" s="12">
        <f t="shared" si="8"/>
        <v>9000.33</v>
      </c>
      <c r="AF31" s="50">
        <f t="shared" si="2"/>
        <v>122392.47999999998</v>
      </c>
      <c r="AG31" s="50">
        <v>0</v>
      </c>
      <c r="AH31" s="12">
        <f t="shared" si="4"/>
        <v>122392.47999999998</v>
      </c>
      <c r="AI31" s="50">
        <f t="shared" si="15"/>
        <v>354.98433333333327</v>
      </c>
      <c r="AJ31" s="12" t="e">
        <f>AD31-#REF!</f>
        <v>#REF!</v>
      </c>
      <c r="AK31" s="12" t="e">
        <f>IF(#REF!=0,0,AD31/#REF!*100)</f>
        <v>#REF!</v>
      </c>
      <c r="AL31" s="50">
        <f t="shared" si="9"/>
        <v>170392.47999999998</v>
      </c>
      <c r="AM31" s="50">
        <v>0</v>
      </c>
      <c r="AN31" s="12">
        <f t="shared" si="11"/>
        <v>162292.46</v>
      </c>
      <c r="AO31" s="50">
        <f t="shared" si="16"/>
        <v>2103.6056701094562</v>
      </c>
      <c r="AP31" s="12">
        <f t="shared" si="55"/>
        <v>147296.93999999997</v>
      </c>
      <c r="AQ31" s="12">
        <f t="shared" si="56"/>
        <v>737.77222788469101</v>
      </c>
      <c r="AR31" s="39">
        <f t="shared" ref="AR31" si="59">AR32</f>
        <v>170392.47999999998</v>
      </c>
    </row>
    <row r="32" spans="1:44" s="5" customFormat="1" ht="45.75" customHeight="1" x14ac:dyDescent="0.3">
      <c r="A32" s="4"/>
      <c r="B32" s="46"/>
      <c r="C32" s="46"/>
      <c r="D32" s="46"/>
      <c r="E32" s="46"/>
      <c r="F32" s="46"/>
      <c r="G32" s="6"/>
      <c r="H32" s="6"/>
      <c r="I32" s="14" t="s">
        <v>45</v>
      </c>
      <c r="J32" s="13">
        <v>59624.2</v>
      </c>
      <c r="K32" s="13">
        <f>J32</f>
        <v>59624.2</v>
      </c>
      <c r="L32" s="13">
        <v>23095.54</v>
      </c>
      <c r="M32" s="13">
        <f>L32</f>
        <v>23095.54</v>
      </c>
      <c r="N32" s="13">
        <v>33317.79</v>
      </c>
      <c r="O32" s="13">
        <v>67233.87</v>
      </c>
      <c r="P32" s="13">
        <f>O32</f>
        <v>67233.87</v>
      </c>
      <c r="Q32" s="13">
        <v>67233.87</v>
      </c>
      <c r="R32" s="13">
        <f>Q32</f>
        <v>67233.87</v>
      </c>
      <c r="S32" s="13">
        <v>924390.34</v>
      </c>
      <c r="T32" s="13">
        <v>985368.67</v>
      </c>
      <c r="U32" s="13">
        <f>T32</f>
        <v>985368.67</v>
      </c>
      <c r="V32" s="13">
        <v>8100.02</v>
      </c>
      <c r="W32" s="13">
        <f>V32</f>
        <v>8100.02</v>
      </c>
      <c r="X32" s="13">
        <v>48000</v>
      </c>
      <c r="Y32" s="13">
        <v>48000</v>
      </c>
      <c r="Z32" s="13">
        <v>0</v>
      </c>
      <c r="AA32" s="13">
        <v>7383.08</v>
      </c>
      <c r="AB32" s="13">
        <v>16383.41</v>
      </c>
      <c r="AC32" s="13">
        <v>154009.06999999998</v>
      </c>
      <c r="AD32" s="13">
        <f t="shared" si="19"/>
        <v>170392.47999999998</v>
      </c>
      <c r="AE32" s="13">
        <f t="shared" si="8"/>
        <v>9000.33</v>
      </c>
      <c r="AF32" s="50">
        <f t="shared" si="2"/>
        <v>122392.47999999998</v>
      </c>
      <c r="AG32" s="50">
        <v>0</v>
      </c>
      <c r="AH32" s="12">
        <f t="shared" si="4"/>
        <v>122392.47999999998</v>
      </c>
      <c r="AI32" s="50">
        <f t="shared" si="15"/>
        <v>354.98433333333327</v>
      </c>
      <c r="AJ32" s="13" t="e">
        <f>AD32-#REF!</f>
        <v>#REF!</v>
      </c>
      <c r="AK32" s="12" t="e">
        <f>IF(#REF!=0,0,AD32/#REF!*100)</f>
        <v>#REF!</v>
      </c>
      <c r="AL32" s="50">
        <f t="shared" si="9"/>
        <v>170392.47999999998</v>
      </c>
      <c r="AM32" s="50">
        <v>0</v>
      </c>
      <c r="AN32" s="13">
        <f t="shared" si="11"/>
        <v>162292.46</v>
      </c>
      <c r="AO32" s="50">
        <f t="shared" si="16"/>
        <v>2103.6056701094562</v>
      </c>
      <c r="AP32" s="12">
        <f t="shared" si="55"/>
        <v>147296.93999999997</v>
      </c>
      <c r="AQ32" s="12">
        <f t="shared" si="56"/>
        <v>737.77222788469101</v>
      </c>
      <c r="AR32" s="36">
        <f>AD32</f>
        <v>170392.47999999998</v>
      </c>
    </row>
    <row r="33" spans="1:46" s="10" customFormat="1" ht="40.5" customHeight="1" x14ac:dyDescent="0.3">
      <c r="A33" s="9"/>
      <c r="B33" s="104" t="s">
        <v>14</v>
      </c>
      <c r="C33" s="104"/>
      <c r="D33" s="104"/>
      <c r="E33" s="104"/>
      <c r="F33" s="104"/>
      <c r="G33" s="104"/>
      <c r="H33" s="104"/>
      <c r="I33" s="104"/>
      <c r="J33" s="12">
        <v>94365.83</v>
      </c>
      <c r="K33" s="12">
        <f>J33</f>
        <v>94365.83</v>
      </c>
      <c r="L33" s="12">
        <v>-57774.36</v>
      </c>
      <c r="M33" s="12">
        <f>L33</f>
        <v>-57774.36</v>
      </c>
      <c r="N33" s="12">
        <v>700000</v>
      </c>
      <c r="O33" s="12">
        <v>700639.49</v>
      </c>
      <c r="P33" s="12">
        <f>O33</f>
        <v>700639.49</v>
      </c>
      <c r="Q33" s="12">
        <v>700639.49</v>
      </c>
      <c r="R33" s="12">
        <f>Q33</f>
        <v>700639.49</v>
      </c>
      <c r="S33" s="12">
        <v>267810</v>
      </c>
      <c r="T33" s="12">
        <v>267975.98</v>
      </c>
      <c r="U33" s="12">
        <f>T33</f>
        <v>267975.98</v>
      </c>
      <c r="V33" s="12">
        <v>108887.5</v>
      </c>
      <c r="W33" s="12">
        <f>V33</f>
        <v>108887.5</v>
      </c>
      <c r="X33" s="12">
        <v>763440</v>
      </c>
      <c r="Y33" s="12">
        <v>763440</v>
      </c>
      <c r="Z33" s="12">
        <v>383374</v>
      </c>
      <c r="AA33" s="12">
        <v>109125.17</v>
      </c>
      <c r="AB33" s="12">
        <v>12929.35</v>
      </c>
      <c r="AC33" s="12">
        <v>273258.17</v>
      </c>
      <c r="AD33" s="12">
        <f t="shared" si="19"/>
        <v>286187.51999999996</v>
      </c>
      <c r="AE33" s="12">
        <f t="shared" si="8"/>
        <v>-96195.819999999992</v>
      </c>
      <c r="AF33" s="50">
        <f t="shared" si="2"/>
        <v>-477252.48000000004</v>
      </c>
      <c r="AG33" s="50">
        <v>0</v>
      </c>
      <c r="AH33" s="12">
        <f t="shared" si="4"/>
        <v>-477252.48000000004</v>
      </c>
      <c r="AI33" s="50">
        <f t="shared" si="15"/>
        <v>37.486576548255265</v>
      </c>
      <c r="AJ33" s="12" t="e">
        <f>AD33-#REF!</f>
        <v>#REF!</v>
      </c>
      <c r="AK33" s="12" t="e">
        <f>IF(#REF!=0,0,AD33/#REF!*100)</f>
        <v>#REF!</v>
      </c>
      <c r="AL33" s="50">
        <f t="shared" si="9"/>
        <v>-97186.48000000004</v>
      </c>
      <c r="AM33" s="50">
        <f t="shared" si="10"/>
        <v>74.64969455414294</v>
      </c>
      <c r="AN33" s="12">
        <f t="shared" si="11"/>
        <v>177300.01999999996</v>
      </c>
      <c r="AO33" s="50">
        <f t="shared" si="16"/>
        <v>262.82862587533003</v>
      </c>
      <c r="AP33" s="12">
        <f t="shared" si="55"/>
        <v>343961.87999999995</v>
      </c>
      <c r="AQ33" s="12">
        <f t="shared" si="56"/>
        <v>-495.35385593193928</v>
      </c>
      <c r="AR33" s="39">
        <v>745000</v>
      </c>
    </row>
    <row r="34" spans="1:46" s="10" customFormat="1" ht="57.75" customHeight="1" x14ac:dyDescent="0.3">
      <c r="A34" s="9"/>
      <c r="B34" s="104" t="s">
        <v>13</v>
      </c>
      <c r="C34" s="104"/>
      <c r="D34" s="104"/>
      <c r="E34" s="104"/>
      <c r="F34" s="104"/>
      <c r="G34" s="104"/>
      <c r="H34" s="104"/>
      <c r="I34" s="104"/>
      <c r="J34" s="12">
        <f t="shared" ref="J34:N34" si="60">J35+J41</f>
        <v>26875602.490000002</v>
      </c>
      <c r="K34" s="12">
        <f t="shared" si="60"/>
        <v>26875602.490000002</v>
      </c>
      <c r="L34" s="12">
        <f t="shared" si="60"/>
        <v>10496131.460000001</v>
      </c>
      <c r="M34" s="12">
        <f t="shared" si="60"/>
        <v>10496131.460000001</v>
      </c>
      <c r="N34" s="12">
        <f t="shared" si="60"/>
        <v>29133952.98</v>
      </c>
      <c r="O34" s="12">
        <f>O35+O41</f>
        <v>30359839.810000002</v>
      </c>
      <c r="P34" s="12">
        <f t="shared" ref="P34" si="61">P35+P41</f>
        <v>30359839.810000002</v>
      </c>
      <c r="Q34" s="12">
        <v>30359839.810000002</v>
      </c>
      <c r="R34" s="12">
        <f>R35+R41</f>
        <v>30359839.810000002</v>
      </c>
      <c r="S34" s="12">
        <f t="shared" ref="S34" si="62">S35+S41</f>
        <v>27175643.960000001</v>
      </c>
      <c r="T34" s="12">
        <f>T35+T41</f>
        <v>28830788.940000001</v>
      </c>
      <c r="U34" s="12">
        <f t="shared" ref="U34:V34" si="63">U35+U41</f>
        <v>28830788.940000001</v>
      </c>
      <c r="V34" s="12">
        <f t="shared" si="63"/>
        <v>4405262.3499999987</v>
      </c>
      <c r="W34" s="12">
        <f t="shared" ref="W34" si="64">W35+W41</f>
        <v>4405262.3499999987</v>
      </c>
      <c r="X34" s="12">
        <f>X35+X41</f>
        <v>25090600</v>
      </c>
      <c r="Y34" s="12">
        <f>Y35+Y41</f>
        <v>25090600</v>
      </c>
      <c r="Z34" s="12">
        <f>Z35+Z41</f>
        <v>5565396.8200000003</v>
      </c>
      <c r="AA34" s="12">
        <f t="shared" ref="AA34:AB34" si="65">AA35+AA41</f>
        <v>562938.02</v>
      </c>
      <c r="AB34" s="12">
        <f t="shared" si="65"/>
        <v>1342221.85</v>
      </c>
      <c r="AC34" s="12">
        <v>5674135.1099999994</v>
      </c>
      <c r="AD34" s="12">
        <f>AD35+AD41</f>
        <v>7016356.96</v>
      </c>
      <c r="AE34" s="12">
        <f t="shared" si="8"/>
        <v>779283.83000000007</v>
      </c>
      <c r="AF34" s="50">
        <f t="shared" si="2"/>
        <v>-18074243.039999999</v>
      </c>
      <c r="AG34" s="50">
        <v>0</v>
      </c>
      <c r="AH34" s="12">
        <f t="shared" si="4"/>
        <v>-18074243.039999999</v>
      </c>
      <c r="AI34" s="50">
        <f t="shared" si="15"/>
        <v>27.964085992363675</v>
      </c>
      <c r="AJ34" s="12" t="e">
        <f>AD34-#REF!</f>
        <v>#REF!</v>
      </c>
      <c r="AK34" s="12" t="e">
        <f>IF(#REF!=0,0,AD34/#REF!*100)</f>
        <v>#REF!</v>
      </c>
      <c r="AL34" s="50">
        <f t="shared" si="9"/>
        <v>1450960.1399999997</v>
      </c>
      <c r="AM34" s="50">
        <f t="shared" si="10"/>
        <v>126.0710994548633</v>
      </c>
      <c r="AN34" s="12">
        <f t="shared" si="11"/>
        <v>2611094.6100000013</v>
      </c>
      <c r="AO34" s="50">
        <f t="shared" si="16"/>
        <v>159.27217047584014</v>
      </c>
      <c r="AP34" s="12">
        <f t="shared" si="55"/>
        <v>-3479774.5000000009</v>
      </c>
      <c r="AQ34" s="12">
        <f t="shared" si="56"/>
        <v>66.847075865416031</v>
      </c>
      <c r="AR34" s="39">
        <f t="shared" ref="AR34" si="66">AR35+AR41</f>
        <v>7016356.96</v>
      </c>
    </row>
    <row r="35" spans="1:46" s="5" customFormat="1" ht="39" customHeight="1" x14ac:dyDescent="0.3">
      <c r="A35" s="4"/>
      <c r="B35" s="109" t="s">
        <v>68</v>
      </c>
      <c r="C35" s="109"/>
      <c r="D35" s="109"/>
      <c r="E35" s="109"/>
      <c r="F35" s="109"/>
      <c r="G35" s="109"/>
      <c r="H35" s="109"/>
      <c r="I35" s="109"/>
      <c r="J35" s="13">
        <v>25635946.170000002</v>
      </c>
      <c r="K35" s="13">
        <f>J35</f>
        <v>25635946.170000002</v>
      </c>
      <c r="L35" s="13">
        <v>9871683.9800000004</v>
      </c>
      <c r="M35" s="13">
        <f>L35</f>
        <v>9871683.9800000004</v>
      </c>
      <c r="N35" s="13">
        <v>29103618.59</v>
      </c>
      <c r="O35" s="13">
        <v>29972428.030000001</v>
      </c>
      <c r="P35" s="13">
        <f>P36+P37+P40</f>
        <v>29972428.030000001</v>
      </c>
      <c r="Q35" s="13">
        <v>29972428.030000001</v>
      </c>
      <c r="R35" s="13">
        <f>R36+R37+R40</f>
        <v>29972428.030000001</v>
      </c>
      <c r="S35" s="13">
        <f t="shared" ref="S35:T35" si="67">S36+S37+S40</f>
        <v>27157421.199999999</v>
      </c>
      <c r="T35" s="13">
        <f t="shared" si="67"/>
        <v>28334417.470000003</v>
      </c>
      <c r="U35" s="13">
        <f>U36+U37+U40</f>
        <v>28334417.470000003</v>
      </c>
      <c r="V35" s="13">
        <f>V36+V37+V40+V38+V39</f>
        <v>4382032.209999999</v>
      </c>
      <c r="W35" s="13">
        <f>W36+W37+W40</f>
        <v>4382032.209999999</v>
      </c>
      <c r="X35" s="13">
        <f>X36+X37+X40+X38+X39</f>
        <v>25090600</v>
      </c>
      <c r="Y35" s="13">
        <f>Y36+Y37+Y40+Y38+Y39</f>
        <v>25090600</v>
      </c>
      <c r="Z35" s="13">
        <f>Z36+Z37+Z40+Z38+Z39</f>
        <v>5565396.8200000003</v>
      </c>
      <c r="AA35" s="13">
        <f>AA36+AA37+AA40+AA38+AA39</f>
        <v>558189.78</v>
      </c>
      <c r="AB35" s="13">
        <f t="shared" ref="AB35" si="68">AB36+AB37+AB40+AB38+AB39</f>
        <v>1314547.6600000001</v>
      </c>
      <c r="AC35" s="13">
        <v>5602106.9200000009</v>
      </c>
      <c r="AD35" s="13">
        <f>AD36+AD37+AD40+AD38+AD39</f>
        <v>6916654.5800000001</v>
      </c>
      <c r="AE35" s="13">
        <f t="shared" si="8"/>
        <v>756357.88000000012</v>
      </c>
      <c r="AF35" s="50">
        <f t="shared" si="2"/>
        <v>-18173945.420000002</v>
      </c>
      <c r="AG35" s="50">
        <v>0</v>
      </c>
      <c r="AH35" s="12">
        <f t="shared" si="4"/>
        <v>-18173945.420000002</v>
      </c>
      <c r="AI35" s="50">
        <f t="shared" si="15"/>
        <v>27.566716539261716</v>
      </c>
      <c r="AJ35" s="13" t="e">
        <f>AD35-#REF!</f>
        <v>#REF!</v>
      </c>
      <c r="AK35" s="12" t="e">
        <f>IF(#REF!=0,0,AD35/#REF!*100)</f>
        <v>#REF!</v>
      </c>
      <c r="AL35" s="50">
        <f t="shared" si="9"/>
        <v>1351257.7599999998</v>
      </c>
      <c r="AM35" s="50">
        <f t="shared" si="10"/>
        <v>124.27963007317059</v>
      </c>
      <c r="AN35" s="13">
        <f t="shared" si="11"/>
        <v>2534622.370000001</v>
      </c>
      <c r="AO35" s="50">
        <f t="shared" si="16"/>
        <v>157.84125375016359</v>
      </c>
      <c r="AP35" s="12">
        <f t="shared" si="55"/>
        <v>-2955029.4000000004</v>
      </c>
      <c r="AQ35" s="12">
        <f t="shared" si="56"/>
        <v>70.065599689101873</v>
      </c>
      <c r="AR35" s="36">
        <f>AD35</f>
        <v>6916654.5800000001</v>
      </c>
    </row>
    <row r="36" spans="1:46" s="5" customFormat="1" ht="39" customHeight="1" x14ac:dyDescent="0.3">
      <c r="A36" s="4"/>
      <c r="B36" s="46"/>
      <c r="C36" s="46"/>
      <c r="D36" s="46"/>
      <c r="E36" s="46"/>
      <c r="F36" s="46"/>
      <c r="G36" s="46"/>
      <c r="H36" s="46"/>
      <c r="I36" s="49" t="s">
        <v>64</v>
      </c>
      <c r="J36" s="36"/>
      <c r="K36" s="36"/>
      <c r="L36" s="36"/>
      <c r="M36" s="36"/>
      <c r="N36" s="36"/>
      <c r="O36" s="36">
        <v>523404.98</v>
      </c>
      <c r="P36" s="36">
        <f>O36</f>
        <v>523404.98</v>
      </c>
      <c r="Q36" s="36">
        <v>523404.98</v>
      </c>
      <c r="R36" s="36">
        <f>Q36</f>
        <v>523404.98</v>
      </c>
      <c r="S36" s="36">
        <v>350000</v>
      </c>
      <c r="T36" s="36">
        <v>604943.78</v>
      </c>
      <c r="U36" s="36">
        <f>T36</f>
        <v>604943.78</v>
      </c>
      <c r="V36" s="36">
        <v>71763.350000000006</v>
      </c>
      <c r="W36" s="36">
        <f>V36</f>
        <v>71763.350000000006</v>
      </c>
      <c r="X36" s="36">
        <v>360000</v>
      </c>
      <c r="Y36" s="36">
        <v>360000</v>
      </c>
      <c r="Z36" s="36">
        <v>90000</v>
      </c>
      <c r="AA36" s="36">
        <v>15620.15</v>
      </c>
      <c r="AB36" s="36">
        <v>3083.85</v>
      </c>
      <c r="AC36" s="36">
        <v>93971.12999999999</v>
      </c>
      <c r="AD36" s="36">
        <f t="shared" si="19"/>
        <v>97054.98</v>
      </c>
      <c r="AE36" s="36">
        <f t="shared" si="8"/>
        <v>-12536.3</v>
      </c>
      <c r="AF36" s="51">
        <f t="shared" si="2"/>
        <v>-262945.02</v>
      </c>
      <c r="AG36" s="51">
        <f>AD36/X36*100</f>
        <v>26.959716666666665</v>
      </c>
      <c r="AH36" s="39">
        <f t="shared" si="4"/>
        <v>-262945.02</v>
      </c>
      <c r="AI36" s="51">
        <f t="shared" si="15"/>
        <v>26.959716666666665</v>
      </c>
      <c r="AJ36" s="36"/>
      <c r="AK36" s="39"/>
      <c r="AL36" s="51">
        <f t="shared" si="9"/>
        <v>7054.9799999999959</v>
      </c>
      <c r="AM36" s="51">
        <f t="shared" si="10"/>
        <v>107.83886666666666</v>
      </c>
      <c r="AN36" s="36">
        <f t="shared" si="11"/>
        <v>25291.62999999999</v>
      </c>
      <c r="AO36" s="51">
        <f t="shared" si="16"/>
        <v>135.2431011094103</v>
      </c>
      <c r="AP36" s="12"/>
      <c r="AQ36" s="12"/>
      <c r="AR36" s="36"/>
    </row>
    <row r="37" spans="1:46" s="5" customFormat="1" ht="39" customHeight="1" x14ac:dyDescent="0.3">
      <c r="A37" s="4"/>
      <c r="B37" s="46"/>
      <c r="C37" s="46"/>
      <c r="D37" s="46"/>
      <c r="E37" s="46"/>
      <c r="F37" s="46"/>
      <c r="G37" s="46"/>
      <c r="H37" s="46"/>
      <c r="I37" s="49" t="s">
        <v>65</v>
      </c>
      <c r="J37" s="36"/>
      <c r="K37" s="36"/>
      <c r="L37" s="36"/>
      <c r="M37" s="36"/>
      <c r="N37" s="36"/>
      <c r="O37" s="36">
        <v>29449023.050000001</v>
      </c>
      <c r="P37" s="36">
        <f t="shared" ref="P37:P40" si="69">O37</f>
        <v>29449023.050000001</v>
      </c>
      <c r="Q37" s="36">
        <v>29449023.050000001</v>
      </c>
      <c r="R37" s="36">
        <f>Q37</f>
        <v>29449023.050000001</v>
      </c>
      <c r="S37" s="36">
        <v>26807421.199999999</v>
      </c>
      <c r="T37" s="36">
        <v>27683990.93</v>
      </c>
      <c r="U37" s="36">
        <f t="shared" ref="U37:W40" si="70">T37</f>
        <v>27683990.93</v>
      </c>
      <c r="V37" s="36">
        <v>4288387.0999999996</v>
      </c>
      <c r="W37" s="36">
        <f t="shared" si="70"/>
        <v>4288387.0999999996</v>
      </c>
      <c r="X37" s="36">
        <v>22830600</v>
      </c>
      <c r="Y37" s="36">
        <v>22830600</v>
      </c>
      <c r="Z37" s="36">
        <v>5251038</v>
      </c>
      <c r="AA37" s="36">
        <v>473846.63</v>
      </c>
      <c r="AB37" s="36">
        <v>1270433.81</v>
      </c>
      <c r="AC37" s="36">
        <v>5217312.79</v>
      </c>
      <c r="AD37" s="36">
        <f t="shared" si="19"/>
        <v>6487746.5999999996</v>
      </c>
      <c r="AE37" s="36">
        <f t="shared" si="8"/>
        <v>796587.18</v>
      </c>
      <c r="AF37" s="51">
        <f t="shared" si="2"/>
        <v>-16342853.4</v>
      </c>
      <c r="AG37" s="51">
        <f>AD37/X37*100</f>
        <v>28.416890489080444</v>
      </c>
      <c r="AH37" s="39">
        <f t="shared" si="4"/>
        <v>-16342853.4</v>
      </c>
      <c r="AI37" s="51">
        <f t="shared" si="15"/>
        <v>28.416890489080444</v>
      </c>
      <c r="AJ37" s="36"/>
      <c r="AK37" s="39"/>
      <c r="AL37" s="51">
        <f t="shared" si="9"/>
        <v>1236708.5999999996</v>
      </c>
      <c r="AM37" s="51">
        <f t="shared" si="10"/>
        <v>123.55169777861062</v>
      </c>
      <c r="AN37" s="36">
        <f t="shared" si="11"/>
        <v>2199359.5</v>
      </c>
      <c r="AO37" s="51">
        <f t="shared" si="16"/>
        <v>151.28640322605204</v>
      </c>
      <c r="AP37" s="12"/>
      <c r="AQ37" s="12"/>
      <c r="AR37" s="36"/>
    </row>
    <row r="38" spans="1:46" s="5" customFormat="1" ht="39" customHeight="1" x14ac:dyDescent="0.3">
      <c r="A38" s="4"/>
      <c r="B38" s="46"/>
      <c r="C38" s="46"/>
      <c r="D38" s="46"/>
      <c r="E38" s="46"/>
      <c r="F38" s="46"/>
      <c r="G38" s="46"/>
      <c r="H38" s="46"/>
      <c r="I38" s="49" t="s">
        <v>82</v>
      </c>
      <c r="J38" s="36"/>
      <c r="K38" s="36"/>
      <c r="L38" s="36"/>
      <c r="M38" s="36"/>
      <c r="N38" s="36"/>
      <c r="O38" s="36"/>
      <c r="P38" s="36"/>
      <c r="Q38" s="36"/>
      <c r="R38" s="36"/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1400000</v>
      </c>
      <c r="Y38" s="36">
        <v>1400000</v>
      </c>
      <c r="Z38" s="36">
        <v>185318.82</v>
      </c>
      <c r="AA38" s="36">
        <v>67973</v>
      </c>
      <c r="AB38" s="36">
        <v>40580</v>
      </c>
      <c r="AC38" s="36">
        <v>287003</v>
      </c>
      <c r="AD38" s="36">
        <f t="shared" si="19"/>
        <v>327583</v>
      </c>
      <c r="AE38" s="36">
        <f t="shared" si="8"/>
        <v>-27393</v>
      </c>
      <c r="AF38" s="51">
        <f t="shared" si="2"/>
        <v>-1072417</v>
      </c>
      <c r="AG38" s="51">
        <f t="shared" ref="AG38:AG39" si="71">AD38/X38*100</f>
        <v>23.398785714285715</v>
      </c>
      <c r="AH38" s="39">
        <f t="shared" ref="AH38:AH39" si="72">AD38-Y38</f>
        <v>-1072417</v>
      </c>
      <c r="AI38" s="51">
        <f t="shared" si="15"/>
        <v>23.398785714285715</v>
      </c>
      <c r="AJ38" s="36"/>
      <c r="AK38" s="39"/>
      <c r="AL38" s="51">
        <f t="shared" si="9"/>
        <v>142264.18</v>
      </c>
      <c r="AM38" s="51">
        <f t="shared" si="10"/>
        <v>176.76725979584805</v>
      </c>
      <c r="AN38" s="36">
        <f t="shared" ref="AN38:AN39" si="73">AD38-W38</f>
        <v>327583</v>
      </c>
      <c r="AO38" s="51">
        <v>0</v>
      </c>
      <c r="AP38" s="12"/>
      <c r="AQ38" s="12"/>
      <c r="AR38" s="36"/>
    </row>
    <row r="39" spans="1:46" s="5" customFormat="1" ht="39" customHeight="1" x14ac:dyDescent="0.3">
      <c r="A39" s="4"/>
      <c r="B39" s="46"/>
      <c r="C39" s="46"/>
      <c r="D39" s="46"/>
      <c r="E39" s="46"/>
      <c r="F39" s="46"/>
      <c r="G39" s="46"/>
      <c r="H39" s="46"/>
      <c r="I39" s="49" t="s">
        <v>83</v>
      </c>
      <c r="J39" s="36"/>
      <c r="K39" s="36"/>
      <c r="L39" s="36"/>
      <c r="M39" s="36"/>
      <c r="N39" s="36"/>
      <c r="O39" s="36"/>
      <c r="P39" s="36"/>
      <c r="Q39" s="36"/>
      <c r="R39" s="36"/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500000</v>
      </c>
      <c r="Y39" s="36">
        <v>500000</v>
      </c>
      <c r="Z39" s="36">
        <v>39040</v>
      </c>
      <c r="AA39" s="36">
        <v>0</v>
      </c>
      <c r="AB39" s="36">
        <v>0</v>
      </c>
      <c r="AC39" s="36">
        <v>0</v>
      </c>
      <c r="AD39" s="36">
        <f t="shared" si="19"/>
        <v>0</v>
      </c>
      <c r="AE39" s="36">
        <f t="shared" si="8"/>
        <v>0</v>
      </c>
      <c r="AF39" s="51">
        <f t="shared" si="2"/>
        <v>-500000</v>
      </c>
      <c r="AG39" s="51">
        <f t="shared" si="71"/>
        <v>0</v>
      </c>
      <c r="AH39" s="39">
        <f t="shared" si="72"/>
        <v>-500000</v>
      </c>
      <c r="AI39" s="51">
        <f t="shared" si="15"/>
        <v>0</v>
      </c>
      <c r="AJ39" s="36"/>
      <c r="AK39" s="39"/>
      <c r="AL39" s="51">
        <f t="shared" si="9"/>
        <v>-39040</v>
      </c>
      <c r="AM39" s="51">
        <v>0</v>
      </c>
      <c r="AN39" s="36">
        <f t="shared" si="73"/>
        <v>0</v>
      </c>
      <c r="AO39" s="51">
        <v>0</v>
      </c>
      <c r="AP39" s="12"/>
      <c r="AQ39" s="12"/>
      <c r="AR39" s="36"/>
    </row>
    <row r="40" spans="1:46" s="5" customFormat="1" ht="39" customHeight="1" x14ac:dyDescent="0.3">
      <c r="A40" s="4"/>
      <c r="B40" s="46"/>
      <c r="C40" s="46"/>
      <c r="D40" s="46"/>
      <c r="E40" s="46"/>
      <c r="F40" s="46"/>
      <c r="G40" s="46"/>
      <c r="H40" s="46"/>
      <c r="I40" s="49" t="s">
        <v>66</v>
      </c>
      <c r="J40" s="36"/>
      <c r="K40" s="36"/>
      <c r="L40" s="36"/>
      <c r="M40" s="36"/>
      <c r="N40" s="36"/>
      <c r="O40" s="36">
        <v>0</v>
      </c>
      <c r="P40" s="36">
        <f t="shared" si="69"/>
        <v>0</v>
      </c>
      <c r="Q40" s="36">
        <v>0</v>
      </c>
      <c r="R40" s="36">
        <f>Q40</f>
        <v>0</v>
      </c>
      <c r="S40" s="36">
        <v>0</v>
      </c>
      <c r="T40" s="36">
        <v>45482.76</v>
      </c>
      <c r="U40" s="36">
        <f t="shared" si="70"/>
        <v>45482.76</v>
      </c>
      <c r="V40" s="36">
        <v>21881.759999999998</v>
      </c>
      <c r="W40" s="36">
        <f t="shared" si="70"/>
        <v>21881.759999999998</v>
      </c>
      <c r="X40" s="36">
        <v>0</v>
      </c>
      <c r="Y40" s="36">
        <v>0</v>
      </c>
      <c r="Z40" s="36">
        <v>0</v>
      </c>
      <c r="AA40" s="36">
        <v>750</v>
      </c>
      <c r="AB40" s="36">
        <v>450</v>
      </c>
      <c r="AC40" s="36">
        <v>3820</v>
      </c>
      <c r="AD40" s="36">
        <f t="shared" si="19"/>
        <v>4270</v>
      </c>
      <c r="AE40" s="36">
        <f t="shared" si="8"/>
        <v>-300</v>
      </c>
      <c r="AF40" s="51">
        <f t="shared" ref="AF40:AF59" si="74">AD40-X40</f>
        <v>4270</v>
      </c>
      <c r="AG40" s="51">
        <v>0</v>
      </c>
      <c r="AH40" s="39">
        <f t="shared" ref="AH40:AH59" si="75">AD40-Y40</f>
        <v>4270</v>
      </c>
      <c r="AI40" s="51">
        <v>0</v>
      </c>
      <c r="AJ40" s="36"/>
      <c r="AK40" s="39"/>
      <c r="AL40" s="51">
        <f t="shared" si="9"/>
        <v>4270</v>
      </c>
      <c r="AM40" s="51">
        <v>0</v>
      </c>
      <c r="AN40" s="36">
        <f t="shared" si="11"/>
        <v>-17611.759999999998</v>
      </c>
      <c r="AO40" s="51">
        <v>0</v>
      </c>
      <c r="AP40" s="12"/>
      <c r="AQ40" s="12"/>
      <c r="AR40" s="36"/>
    </row>
    <row r="41" spans="1:46" s="5" customFormat="1" ht="28.5" customHeight="1" x14ac:dyDescent="0.3">
      <c r="A41" s="4"/>
      <c r="B41" s="109" t="s">
        <v>12</v>
      </c>
      <c r="C41" s="109"/>
      <c r="D41" s="109"/>
      <c r="E41" s="109"/>
      <c r="F41" s="109"/>
      <c r="G41" s="109"/>
      <c r="H41" s="109"/>
      <c r="I41" s="109"/>
      <c r="J41" s="13">
        <v>1239656.32</v>
      </c>
      <c r="K41" s="13">
        <f>J41</f>
        <v>1239656.32</v>
      </c>
      <c r="L41" s="13">
        <v>624447.48</v>
      </c>
      <c r="M41" s="13">
        <f>L41</f>
        <v>624447.48</v>
      </c>
      <c r="N41" s="13">
        <v>30334.39</v>
      </c>
      <c r="O41" s="13">
        <v>387411.78</v>
      </c>
      <c r="P41" s="13">
        <f>O41</f>
        <v>387411.78</v>
      </c>
      <c r="Q41" s="13">
        <v>387411.78</v>
      </c>
      <c r="R41" s="13">
        <f>Q41</f>
        <v>387411.78</v>
      </c>
      <c r="S41" s="13">
        <v>18222.759999999998</v>
      </c>
      <c r="T41" s="13">
        <v>496371.47</v>
      </c>
      <c r="U41" s="13">
        <f>T41</f>
        <v>496371.47</v>
      </c>
      <c r="V41" s="13">
        <v>23230.14</v>
      </c>
      <c r="W41" s="13">
        <f>V41</f>
        <v>23230.14</v>
      </c>
      <c r="X41" s="13"/>
      <c r="Y41" s="13">
        <v>0</v>
      </c>
      <c r="Z41" s="13">
        <v>0</v>
      </c>
      <c r="AA41" s="13">
        <v>4748.24</v>
      </c>
      <c r="AB41" s="13">
        <v>27674.19</v>
      </c>
      <c r="AC41" s="13">
        <v>72028.19</v>
      </c>
      <c r="AD41" s="13">
        <f t="shared" si="19"/>
        <v>99702.38</v>
      </c>
      <c r="AE41" s="13">
        <f t="shared" si="8"/>
        <v>22925.949999999997</v>
      </c>
      <c r="AF41" s="50">
        <f t="shared" si="74"/>
        <v>99702.38</v>
      </c>
      <c r="AG41" s="50">
        <v>0</v>
      </c>
      <c r="AH41" s="12">
        <f t="shared" si="75"/>
        <v>99702.38</v>
      </c>
      <c r="AI41" s="50">
        <v>0</v>
      </c>
      <c r="AJ41" s="13" t="e">
        <f>AD41-#REF!</f>
        <v>#REF!</v>
      </c>
      <c r="AK41" s="12" t="e">
        <f>IF(#REF!=0,0,AD41/#REF!*100)</f>
        <v>#REF!</v>
      </c>
      <c r="AL41" s="50">
        <f t="shared" si="9"/>
        <v>99702.38</v>
      </c>
      <c r="AM41" s="50">
        <v>0</v>
      </c>
      <c r="AN41" s="13">
        <f t="shared" si="11"/>
        <v>76472.240000000005</v>
      </c>
      <c r="AO41" s="50">
        <f t="shared" si="16"/>
        <v>429.19405565356044</v>
      </c>
      <c r="AP41" s="12">
        <f t="shared" ref="AP41:AP55" si="76">AD41-M41</f>
        <v>-524745.1</v>
      </c>
      <c r="AQ41" s="12">
        <f t="shared" ref="AQ41:AQ55" si="77">IF(M41=0,0,AD41/M41*100)</f>
        <v>15.966495693120583</v>
      </c>
      <c r="AR41" s="36">
        <f>AD41</f>
        <v>99702.38</v>
      </c>
    </row>
    <row r="42" spans="1:46" s="10" customFormat="1" ht="60" customHeight="1" x14ac:dyDescent="0.3">
      <c r="A42" s="9"/>
      <c r="B42" s="104" t="s">
        <v>11</v>
      </c>
      <c r="C42" s="104"/>
      <c r="D42" s="104"/>
      <c r="E42" s="104"/>
      <c r="F42" s="104"/>
      <c r="G42" s="104"/>
      <c r="H42" s="104"/>
      <c r="I42" s="104"/>
      <c r="J42" s="12">
        <f t="shared" ref="J42:AD42" si="78">J43+J44</f>
        <v>4290634.29</v>
      </c>
      <c r="K42" s="12">
        <f t="shared" si="78"/>
        <v>4290634.29</v>
      </c>
      <c r="L42" s="12">
        <f t="shared" si="78"/>
        <v>3198289.13</v>
      </c>
      <c r="M42" s="12">
        <f t="shared" si="78"/>
        <v>3198289.13</v>
      </c>
      <c r="N42" s="12">
        <f t="shared" si="78"/>
        <v>3516712.9</v>
      </c>
      <c r="O42" s="12">
        <f t="shared" si="78"/>
        <v>4112775.06</v>
      </c>
      <c r="P42" s="12">
        <f t="shared" si="78"/>
        <v>4112775.06</v>
      </c>
      <c r="Q42" s="12">
        <v>4112775.06</v>
      </c>
      <c r="R42" s="12">
        <f t="shared" si="78"/>
        <v>4112775.06</v>
      </c>
      <c r="S42" s="12">
        <f t="shared" ref="S42:V42" si="79">S43+S44</f>
        <v>5158755</v>
      </c>
      <c r="T42" s="12">
        <f t="shared" si="79"/>
        <v>5158759.0599999996</v>
      </c>
      <c r="U42" s="12">
        <f t="shared" si="79"/>
        <v>5158759.0599999996</v>
      </c>
      <c r="V42" s="12">
        <f t="shared" si="79"/>
        <v>1213485.8799999999</v>
      </c>
      <c r="W42" s="12">
        <f t="shared" ref="W42:X42" si="80">W43+W44</f>
        <v>1213485.8799999999</v>
      </c>
      <c r="X42" s="12">
        <f t="shared" si="80"/>
        <v>132000</v>
      </c>
      <c r="Y42" s="12">
        <f t="shared" si="78"/>
        <v>132000</v>
      </c>
      <c r="Z42" s="12">
        <f t="shared" si="78"/>
        <v>0</v>
      </c>
      <c r="AA42" s="12">
        <f t="shared" ref="AA42:AB42" si="81">AA43+AA44</f>
        <v>110330</v>
      </c>
      <c r="AB42" s="12">
        <f t="shared" si="81"/>
        <v>76874</v>
      </c>
      <c r="AC42" s="12">
        <v>313467.44</v>
      </c>
      <c r="AD42" s="12">
        <f t="shared" si="78"/>
        <v>390341.44</v>
      </c>
      <c r="AE42" s="12">
        <f t="shared" si="8"/>
        <v>-33456</v>
      </c>
      <c r="AF42" s="50">
        <f t="shared" si="74"/>
        <v>258341.44</v>
      </c>
      <c r="AG42" s="50">
        <f t="shared" ref="AG42:AG54" si="82">AD42/X42*100</f>
        <v>295.71321212121211</v>
      </c>
      <c r="AH42" s="12">
        <f t="shared" si="75"/>
        <v>258341.44</v>
      </c>
      <c r="AI42" s="50">
        <f t="shared" si="15"/>
        <v>295.71321212121211</v>
      </c>
      <c r="AJ42" s="12" t="e">
        <f>AD42-#REF!</f>
        <v>#REF!</v>
      </c>
      <c r="AK42" s="12" t="e">
        <f>IF(#REF!=0,0,AD42/#REF!*100)</f>
        <v>#REF!</v>
      </c>
      <c r="AL42" s="50">
        <f t="shared" si="9"/>
        <v>390341.44</v>
      </c>
      <c r="AM42" s="50">
        <v>0</v>
      </c>
      <c r="AN42" s="12">
        <f t="shared" si="11"/>
        <v>-823144.44</v>
      </c>
      <c r="AO42" s="50">
        <v>0</v>
      </c>
      <c r="AP42" s="12">
        <f t="shared" si="76"/>
        <v>-2807947.69</v>
      </c>
      <c r="AQ42" s="12">
        <f t="shared" si="77"/>
        <v>12.204695202150157</v>
      </c>
      <c r="AR42" s="39">
        <f t="shared" ref="AR42" si="83">AR43+AR44</f>
        <v>390341.44</v>
      </c>
    </row>
    <row r="43" spans="1:46" s="5" customFormat="1" ht="63" customHeight="1" x14ac:dyDescent="0.3">
      <c r="A43" s="4"/>
      <c r="B43" s="109" t="s">
        <v>39</v>
      </c>
      <c r="C43" s="109"/>
      <c r="D43" s="109"/>
      <c r="E43" s="109"/>
      <c r="F43" s="109"/>
      <c r="G43" s="109"/>
      <c r="H43" s="109"/>
      <c r="I43" s="109"/>
      <c r="J43" s="13">
        <v>163530</v>
      </c>
      <c r="K43" s="13">
        <f t="shared" ref="K43:K46" si="84">J43</f>
        <v>163530</v>
      </c>
      <c r="L43" s="13">
        <v>0</v>
      </c>
      <c r="M43" s="13">
        <f t="shared" ref="M43:M46" si="85">L43</f>
        <v>0</v>
      </c>
      <c r="N43" s="13">
        <v>762433</v>
      </c>
      <c r="O43" s="13">
        <v>763713</v>
      </c>
      <c r="P43" s="13">
        <f t="shared" ref="P43:P46" si="86">O43</f>
        <v>763713</v>
      </c>
      <c r="Q43" s="13">
        <v>763713</v>
      </c>
      <c r="R43" s="13">
        <f t="shared" ref="R43:R45" si="87">Q43</f>
        <v>763713</v>
      </c>
      <c r="S43" s="13">
        <v>17475</v>
      </c>
      <c r="T43" s="13">
        <v>17475</v>
      </c>
      <c r="U43" s="13">
        <f t="shared" ref="U43:W46" si="88">T43</f>
        <v>17475</v>
      </c>
      <c r="V43" s="13">
        <v>0</v>
      </c>
      <c r="W43" s="13">
        <f t="shared" si="88"/>
        <v>0</v>
      </c>
      <c r="X43" s="13">
        <v>132000</v>
      </c>
      <c r="Y43" s="13">
        <v>132000</v>
      </c>
      <c r="Z43" s="13">
        <v>0</v>
      </c>
      <c r="AA43" s="13">
        <v>0</v>
      </c>
      <c r="AB43" s="13">
        <v>0</v>
      </c>
      <c r="AC43" s="13">
        <v>5228.8</v>
      </c>
      <c r="AD43" s="13">
        <f t="shared" si="19"/>
        <v>5228.8</v>
      </c>
      <c r="AE43" s="13">
        <f t="shared" si="8"/>
        <v>0</v>
      </c>
      <c r="AF43" s="50">
        <f t="shared" si="74"/>
        <v>-126771.2</v>
      </c>
      <c r="AG43" s="50">
        <f t="shared" si="82"/>
        <v>3.9612121212121219</v>
      </c>
      <c r="AH43" s="12">
        <f t="shared" si="75"/>
        <v>-126771.2</v>
      </c>
      <c r="AI43" s="50">
        <f t="shared" si="15"/>
        <v>3.9612121212121214</v>
      </c>
      <c r="AJ43" s="13" t="e">
        <f>AD43-#REF!</f>
        <v>#REF!</v>
      </c>
      <c r="AK43" s="12" t="e">
        <f>IF(#REF!=0,0,AD43/#REF!*100)</f>
        <v>#REF!</v>
      </c>
      <c r="AL43" s="50">
        <f t="shared" si="9"/>
        <v>5228.8</v>
      </c>
      <c r="AM43" s="50">
        <v>0</v>
      </c>
      <c r="AN43" s="13">
        <f t="shared" si="11"/>
        <v>5228.8</v>
      </c>
      <c r="AO43" s="50">
        <v>0</v>
      </c>
      <c r="AP43" s="12">
        <f t="shared" si="76"/>
        <v>5228.8</v>
      </c>
      <c r="AQ43" s="12">
        <f t="shared" si="77"/>
        <v>0</v>
      </c>
      <c r="AR43" s="36">
        <f>AD43</f>
        <v>5228.8</v>
      </c>
    </row>
    <row r="44" spans="1:46" s="5" customFormat="1" ht="65.25" customHeight="1" x14ac:dyDescent="0.3">
      <c r="A44" s="4"/>
      <c r="B44" s="109" t="s">
        <v>10</v>
      </c>
      <c r="C44" s="109"/>
      <c r="D44" s="109"/>
      <c r="E44" s="109"/>
      <c r="F44" s="109"/>
      <c r="G44" s="109"/>
      <c r="H44" s="109"/>
      <c r="I44" s="109"/>
      <c r="J44" s="13">
        <v>4127104.29</v>
      </c>
      <c r="K44" s="13">
        <f t="shared" si="84"/>
        <v>4127104.29</v>
      </c>
      <c r="L44" s="13">
        <v>3198289.13</v>
      </c>
      <c r="M44" s="13">
        <f t="shared" si="85"/>
        <v>3198289.13</v>
      </c>
      <c r="N44" s="13">
        <v>2754279.9</v>
      </c>
      <c r="O44" s="13">
        <v>3349062.06</v>
      </c>
      <c r="P44" s="13">
        <f t="shared" si="86"/>
        <v>3349062.06</v>
      </c>
      <c r="Q44" s="13">
        <v>3349062.06</v>
      </c>
      <c r="R44" s="13">
        <f t="shared" si="87"/>
        <v>3349062.06</v>
      </c>
      <c r="S44" s="13">
        <v>5141280</v>
      </c>
      <c r="T44" s="13">
        <v>5141284.0599999996</v>
      </c>
      <c r="U44" s="13">
        <f t="shared" si="88"/>
        <v>5141284.0599999996</v>
      </c>
      <c r="V44" s="13">
        <v>1213485.8799999999</v>
      </c>
      <c r="W44" s="13">
        <f t="shared" si="88"/>
        <v>1213485.8799999999</v>
      </c>
      <c r="X44" s="13">
        <v>0</v>
      </c>
      <c r="Y44" s="13">
        <v>0</v>
      </c>
      <c r="Z44" s="13">
        <v>0</v>
      </c>
      <c r="AA44" s="13">
        <v>110330</v>
      </c>
      <c r="AB44" s="13">
        <v>76874</v>
      </c>
      <c r="AC44" s="13">
        <v>308238.64</v>
      </c>
      <c r="AD44" s="13">
        <f t="shared" si="19"/>
        <v>385112.64</v>
      </c>
      <c r="AE44" s="13">
        <f t="shared" si="8"/>
        <v>-33456</v>
      </c>
      <c r="AF44" s="50">
        <f t="shared" si="74"/>
        <v>385112.64</v>
      </c>
      <c r="AG44" s="50">
        <v>0</v>
      </c>
      <c r="AH44" s="12">
        <f t="shared" si="75"/>
        <v>385112.64</v>
      </c>
      <c r="AI44" s="50">
        <v>0</v>
      </c>
      <c r="AJ44" s="13" t="e">
        <f>AD44-#REF!</f>
        <v>#REF!</v>
      </c>
      <c r="AK44" s="12" t="e">
        <f>IF(#REF!=0,0,AD44/#REF!*100)</f>
        <v>#REF!</v>
      </c>
      <c r="AL44" s="50">
        <f t="shared" si="9"/>
        <v>385112.64</v>
      </c>
      <c r="AM44" s="50">
        <v>0</v>
      </c>
      <c r="AN44" s="13">
        <f t="shared" si="11"/>
        <v>-828373.23999999987</v>
      </c>
      <c r="AO44" s="50">
        <v>0</v>
      </c>
      <c r="AP44" s="12">
        <f t="shared" si="76"/>
        <v>-2813176.4899999998</v>
      </c>
      <c r="AQ44" s="12">
        <f t="shared" si="77"/>
        <v>12.041207794118352</v>
      </c>
      <c r="AR44" s="36">
        <f>AD44</f>
        <v>385112.64</v>
      </c>
    </row>
    <row r="45" spans="1:46" s="10" customFormat="1" ht="39.75" customHeight="1" x14ac:dyDescent="0.3">
      <c r="A45" s="9"/>
      <c r="B45" s="104" t="s">
        <v>9</v>
      </c>
      <c r="C45" s="104"/>
      <c r="D45" s="104"/>
      <c r="E45" s="104"/>
      <c r="F45" s="104"/>
      <c r="G45" s="104"/>
      <c r="H45" s="104"/>
      <c r="I45" s="104"/>
      <c r="J45" s="12">
        <v>2338187.02</v>
      </c>
      <c r="K45" s="12">
        <f t="shared" si="84"/>
        <v>2338187.02</v>
      </c>
      <c r="L45" s="12">
        <v>974257.27</v>
      </c>
      <c r="M45" s="12">
        <f t="shared" si="85"/>
        <v>974257.27</v>
      </c>
      <c r="N45" s="12">
        <v>2799320.03</v>
      </c>
      <c r="O45" s="12">
        <v>3055345.14</v>
      </c>
      <c r="P45" s="12">
        <f t="shared" si="86"/>
        <v>3055345.14</v>
      </c>
      <c r="Q45" s="12">
        <v>3055345.14</v>
      </c>
      <c r="R45" s="12">
        <f t="shared" si="87"/>
        <v>3055345.14</v>
      </c>
      <c r="S45" s="12">
        <v>3596607.46</v>
      </c>
      <c r="T45" s="12">
        <v>3652993.79</v>
      </c>
      <c r="U45" s="12">
        <f t="shared" si="88"/>
        <v>3652993.79</v>
      </c>
      <c r="V45" s="12">
        <v>205001.2</v>
      </c>
      <c r="W45" s="12">
        <f t="shared" si="88"/>
        <v>205001.2</v>
      </c>
      <c r="X45" s="12">
        <v>1249470</v>
      </c>
      <c r="Y45" s="12">
        <v>1249470</v>
      </c>
      <c r="Z45" s="12">
        <v>143027</v>
      </c>
      <c r="AA45" s="12">
        <v>51510.21</v>
      </c>
      <c r="AB45" s="12">
        <v>18935.18</v>
      </c>
      <c r="AC45" s="12">
        <v>149768.81</v>
      </c>
      <c r="AD45" s="12">
        <f t="shared" si="19"/>
        <v>168703.99</v>
      </c>
      <c r="AE45" s="12">
        <f t="shared" si="8"/>
        <v>-32575.03</v>
      </c>
      <c r="AF45" s="50">
        <f t="shared" si="74"/>
        <v>-1080766.01</v>
      </c>
      <c r="AG45" s="50">
        <f t="shared" si="82"/>
        <v>13.502044066684274</v>
      </c>
      <c r="AH45" s="12">
        <f t="shared" si="75"/>
        <v>-1080766.01</v>
      </c>
      <c r="AI45" s="50">
        <f t="shared" si="15"/>
        <v>13.502044066684272</v>
      </c>
      <c r="AJ45" s="12" t="e">
        <f>AD45-#REF!</f>
        <v>#REF!</v>
      </c>
      <c r="AK45" s="12" t="e">
        <f>IF(#REF!=0,0,AD45/#REF!*100)</f>
        <v>#REF!</v>
      </c>
      <c r="AL45" s="50">
        <f t="shared" si="9"/>
        <v>25676.989999999991</v>
      </c>
      <c r="AM45" s="50">
        <f t="shared" si="10"/>
        <v>117.95254742111629</v>
      </c>
      <c r="AN45" s="12">
        <f t="shared" si="11"/>
        <v>-36297.210000000021</v>
      </c>
      <c r="AO45" s="50">
        <f t="shared" si="16"/>
        <v>82.294147546453374</v>
      </c>
      <c r="AP45" s="12">
        <f t="shared" si="76"/>
        <v>-805553.28</v>
      </c>
      <c r="AQ45" s="12">
        <f t="shared" si="77"/>
        <v>17.316164343325863</v>
      </c>
      <c r="AR45" s="39">
        <f>AD45</f>
        <v>168703.99</v>
      </c>
    </row>
    <row r="46" spans="1:46" s="23" customFormat="1" ht="30" customHeight="1" x14ac:dyDescent="0.3">
      <c r="A46" s="20"/>
      <c r="B46" s="21"/>
      <c r="C46" s="21"/>
      <c r="D46" s="21"/>
      <c r="E46" s="21"/>
      <c r="F46" s="21"/>
      <c r="G46" s="21"/>
      <c r="H46" s="21"/>
      <c r="I46" s="22" t="s">
        <v>48</v>
      </c>
      <c r="J46" s="17">
        <v>256536.06</v>
      </c>
      <c r="K46" s="17">
        <f t="shared" si="84"/>
        <v>256536.06</v>
      </c>
      <c r="L46" s="17">
        <v>109317.03</v>
      </c>
      <c r="M46" s="17">
        <f t="shared" si="85"/>
        <v>109317.03</v>
      </c>
      <c r="N46" s="17">
        <v>210726.7</v>
      </c>
      <c r="O46" s="27">
        <f>221100.64+0.02+606.42</f>
        <v>221707.08000000002</v>
      </c>
      <c r="P46" s="17">
        <f t="shared" si="86"/>
        <v>221707.08000000002</v>
      </c>
      <c r="Q46" s="17">
        <v>221707.08000000002</v>
      </c>
      <c r="R46" s="17">
        <f>Q46</f>
        <v>221707.08000000002</v>
      </c>
      <c r="S46" s="27">
        <v>295493.67</v>
      </c>
      <c r="T46" s="27">
        <v>303043.07</v>
      </c>
      <c r="U46" s="17">
        <f t="shared" si="88"/>
        <v>303043.07</v>
      </c>
      <c r="V46" s="27">
        <v>54658.26</v>
      </c>
      <c r="W46" s="17">
        <f t="shared" si="88"/>
        <v>54658.26</v>
      </c>
      <c r="X46" s="27">
        <v>336190</v>
      </c>
      <c r="Y46" s="27">
        <v>336190</v>
      </c>
      <c r="Z46" s="27">
        <v>57000</v>
      </c>
      <c r="AA46" s="27">
        <v>7700.33</v>
      </c>
      <c r="AB46" s="27">
        <v>507.32</v>
      </c>
      <c r="AC46" s="27">
        <v>41216.93</v>
      </c>
      <c r="AD46" s="27">
        <f t="shared" si="19"/>
        <v>41724.25</v>
      </c>
      <c r="AE46" s="17">
        <f t="shared" si="8"/>
        <v>-7193.01</v>
      </c>
      <c r="AF46" s="50">
        <f t="shared" si="74"/>
        <v>-294465.75</v>
      </c>
      <c r="AG46" s="50">
        <f t="shared" si="82"/>
        <v>12.410913471548826</v>
      </c>
      <c r="AH46" s="12">
        <f t="shared" si="75"/>
        <v>-294465.75</v>
      </c>
      <c r="AI46" s="50">
        <f t="shared" si="15"/>
        <v>12.410913471548826</v>
      </c>
      <c r="AJ46" s="13" t="e">
        <f>AD46-#REF!</f>
        <v>#REF!</v>
      </c>
      <c r="AK46" s="12" t="e">
        <f>IF(#REF!=0,0,AD46/#REF!*100)</f>
        <v>#REF!</v>
      </c>
      <c r="AL46" s="50">
        <f t="shared" si="9"/>
        <v>-15275.75</v>
      </c>
      <c r="AM46" s="50">
        <f t="shared" si="10"/>
        <v>73.200438596491225</v>
      </c>
      <c r="AN46" s="13">
        <f t="shared" si="11"/>
        <v>-12934.010000000002</v>
      </c>
      <c r="AO46" s="50">
        <f t="shared" si="16"/>
        <v>76.336586638506233</v>
      </c>
      <c r="AP46" s="12">
        <f t="shared" si="76"/>
        <v>-67592.78</v>
      </c>
      <c r="AQ46" s="12">
        <f t="shared" si="77"/>
        <v>38.168115251576076</v>
      </c>
      <c r="AR46" s="36">
        <f>AD46</f>
        <v>41724.25</v>
      </c>
      <c r="AT46" s="27"/>
    </row>
    <row r="47" spans="1:46" s="10" customFormat="1" ht="36.75" customHeight="1" x14ac:dyDescent="0.3">
      <c r="A47" s="9"/>
      <c r="B47" s="104" t="s">
        <v>7</v>
      </c>
      <c r="C47" s="104"/>
      <c r="D47" s="104"/>
      <c r="E47" s="104"/>
      <c r="F47" s="104"/>
      <c r="G47" s="104"/>
      <c r="H47" s="104"/>
      <c r="I47" s="104"/>
      <c r="J47" s="12">
        <f t="shared" ref="J47:P47" si="89">J48+J49</f>
        <v>1294662.3799999999</v>
      </c>
      <c r="K47" s="12">
        <f t="shared" si="89"/>
        <v>5832860.8300000001</v>
      </c>
      <c r="L47" s="12">
        <f t="shared" si="89"/>
        <v>389278.05</v>
      </c>
      <c r="M47" s="12">
        <f t="shared" si="89"/>
        <v>2843481.9</v>
      </c>
      <c r="N47" s="12">
        <f t="shared" si="89"/>
        <v>2895802</v>
      </c>
      <c r="O47" s="12">
        <f t="shared" si="89"/>
        <v>4075696.4</v>
      </c>
      <c r="P47" s="12">
        <f t="shared" si="89"/>
        <v>4075696.4</v>
      </c>
      <c r="Q47" s="12">
        <v>4075696.4</v>
      </c>
      <c r="R47" s="12">
        <f t="shared" ref="R47:AA47" si="90">R48+R49</f>
        <v>4075696.4</v>
      </c>
      <c r="S47" s="12">
        <f t="shared" ref="S47" si="91">S48+S49</f>
        <v>2424483.5099999998</v>
      </c>
      <c r="T47" s="12">
        <f>T48+T49</f>
        <v>2445600.71</v>
      </c>
      <c r="U47" s="12">
        <f t="shared" ref="U47:V47" si="92">U48+U49</f>
        <v>2445600.71</v>
      </c>
      <c r="V47" s="12">
        <f t="shared" si="92"/>
        <v>1470125.75</v>
      </c>
      <c r="W47" s="12">
        <f t="shared" ref="W47:X47" si="93">W48+W49</f>
        <v>1470125.75</v>
      </c>
      <c r="X47" s="12">
        <f t="shared" si="93"/>
        <v>2715689.65</v>
      </c>
      <c r="Y47" s="12">
        <f t="shared" si="90"/>
        <v>4538198.45</v>
      </c>
      <c r="Z47" s="12">
        <f t="shared" si="90"/>
        <v>2333908.7999999998</v>
      </c>
      <c r="AA47" s="12">
        <f t="shared" si="90"/>
        <v>251140.44</v>
      </c>
      <c r="AB47" s="12">
        <f>AB48+AB49</f>
        <v>258469.30000000002</v>
      </c>
      <c r="AC47" s="12">
        <v>2221245.2800000003</v>
      </c>
      <c r="AD47" s="12">
        <f t="shared" ref="AD47" si="94">AD48+AD49</f>
        <v>2479714.58</v>
      </c>
      <c r="AE47" s="12">
        <f t="shared" si="8"/>
        <v>7328.8600000000151</v>
      </c>
      <c r="AF47" s="50">
        <f t="shared" si="74"/>
        <v>-235975.06999999983</v>
      </c>
      <c r="AG47" s="50">
        <f t="shared" si="82"/>
        <v>91.310676092903336</v>
      </c>
      <c r="AH47" s="12">
        <f t="shared" si="75"/>
        <v>-2058483.87</v>
      </c>
      <c r="AI47" s="50">
        <f t="shared" si="15"/>
        <v>54.640946342926014</v>
      </c>
      <c r="AJ47" s="12" t="e">
        <f>AD47-#REF!</f>
        <v>#REF!</v>
      </c>
      <c r="AK47" s="12" t="e">
        <f>IF(#REF!=0,0,AD47/#REF!*100)</f>
        <v>#REF!</v>
      </c>
      <c r="AL47" s="50">
        <f t="shared" si="9"/>
        <v>145805.78000000026</v>
      </c>
      <c r="AM47" s="50">
        <v>0</v>
      </c>
      <c r="AN47" s="12">
        <f t="shared" si="11"/>
        <v>1009588.8300000001</v>
      </c>
      <c r="AO47" s="50">
        <f t="shared" si="16"/>
        <v>168.67363761229271</v>
      </c>
      <c r="AP47" s="12">
        <f t="shared" si="76"/>
        <v>-363767.31999999983</v>
      </c>
      <c r="AQ47" s="12">
        <f t="shared" si="77"/>
        <v>87.206976066912901</v>
      </c>
      <c r="AR47" s="39">
        <f t="shared" ref="AR47" si="95">AR48+AR49</f>
        <v>4381062.7300000004</v>
      </c>
    </row>
    <row r="48" spans="1:46" s="5" customFormat="1" ht="23.25" customHeight="1" x14ac:dyDescent="0.3">
      <c r="A48" s="4"/>
      <c r="B48" s="46"/>
      <c r="C48" s="46"/>
      <c r="D48" s="46"/>
      <c r="E48" s="46"/>
      <c r="F48" s="46"/>
      <c r="G48" s="46"/>
      <c r="H48" s="46"/>
      <c r="I48" s="46" t="s">
        <v>52</v>
      </c>
      <c r="J48" s="13">
        <v>1294662.3799999999</v>
      </c>
      <c r="K48" s="13">
        <f>J48</f>
        <v>1294662.3799999999</v>
      </c>
      <c r="L48" s="13">
        <v>389278.05</v>
      </c>
      <c r="M48" s="13">
        <f>L48</f>
        <v>389278.05</v>
      </c>
      <c r="N48" s="13">
        <v>0</v>
      </c>
      <c r="O48" s="13">
        <v>1151029.3999999999</v>
      </c>
      <c r="P48" s="13">
        <f>O48</f>
        <v>1151029.3999999999</v>
      </c>
      <c r="Q48" s="13">
        <v>1151029.3999999999</v>
      </c>
      <c r="R48" s="13">
        <f>Q48</f>
        <v>1151029.3999999999</v>
      </c>
      <c r="S48" s="13">
        <v>144600</v>
      </c>
      <c r="T48" s="13">
        <v>165717.20000000001</v>
      </c>
      <c r="U48" s="13">
        <f>T48</f>
        <v>165717.20000000001</v>
      </c>
      <c r="V48" s="13">
        <v>256388.45</v>
      </c>
      <c r="W48" s="13">
        <f>V48</f>
        <v>256388.45</v>
      </c>
      <c r="X48" s="13">
        <v>0</v>
      </c>
      <c r="Y48" s="13">
        <v>0</v>
      </c>
      <c r="Z48" s="13">
        <v>0</v>
      </c>
      <c r="AA48" s="13">
        <f>-38945.76+11667</f>
        <v>-27278.760000000002</v>
      </c>
      <c r="AB48" s="13">
        <f>-32250.7+26182.8</f>
        <v>-6067.9000000000015</v>
      </c>
      <c r="AC48" s="13">
        <v>31578.629999999997</v>
      </c>
      <c r="AD48" s="13">
        <f t="shared" si="19"/>
        <v>25510.729999999996</v>
      </c>
      <c r="AE48" s="17">
        <f t="shared" si="8"/>
        <v>21210.86</v>
      </c>
      <c r="AF48" s="50">
        <f t="shared" si="74"/>
        <v>25510.729999999996</v>
      </c>
      <c r="AG48" s="50">
        <v>0</v>
      </c>
      <c r="AH48" s="12">
        <f t="shared" si="75"/>
        <v>25510.729999999996</v>
      </c>
      <c r="AI48" s="50">
        <v>0</v>
      </c>
      <c r="AJ48" s="13" t="e">
        <f>AD48-#REF!</f>
        <v>#REF!</v>
      </c>
      <c r="AK48" s="12" t="e">
        <f>IF(#REF!=0,0,AD48/#REF!*100)</f>
        <v>#REF!</v>
      </c>
      <c r="AL48" s="50">
        <f t="shared" si="9"/>
        <v>25510.729999999996</v>
      </c>
      <c r="AM48" s="50">
        <v>0</v>
      </c>
      <c r="AN48" s="13">
        <f t="shared" si="11"/>
        <v>-230877.72000000003</v>
      </c>
      <c r="AO48" s="50">
        <f t="shared" si="16"/>
        <v>9.9500309003779215</v>
      </c>
      <c r="AP48" s="12">
        <f t="shared" si="76"/>
        <v>-363767.32</v>
      </c>
      <c r="AQ48" s="12">
        <f t="shared" si="77"/>
        <v>6.5533440685905608</v>
      </c>
      <c r="AR48" s="36">
        <f>AD48</f>
        <v>25510.729999999996</v>
      </c>
    </row>
    <row r="49" spans="1:44" s="5" customFormat="1" ht="28.5" customHeight="1" x14ac:dyDescent="0.3">
      <c r="A49" s="4"/>
      <c r="B49" s="46"/>
      <c r="C49" s="46"/>
      <c r="D49" s="46"/>
      <c r="E49" s="46"/>
      <c r="F49" s="46"/>
      <c r="G49" s="46"/>
      <c r="H49" s="46"/>
      <c r="I49" s="46" t="s">
        <v>51</v>
      </c>
      <c r="J49" s="13">
        <v>0</v>
      </c>
      <c r="K49" s="26">
        <f>Y49</f>
        <v>4538198.45</v>
      </c>
      <c r="L49" s="13">
        <v>0</v>
      </c>
      <c r="M49" s="43">
        <f>AD49</f>
        <v>2454203.85</v>
      </c>
      <c r="N49" s="13">
        <v>2895802</v>
      </c>
      <c r="O49" s="13">
        <v>2924667</v>
      </c>
      <c r="P49" s="13">
        <f>O49</f>
        <v>2924667</v>
      </c>
      <c r="Q49" s="13">
        <v>2924667</v>
      </c>
      <c r="R49" s="13">
        <f>Q49</f>
        <v>2924667</v>
      </c>
      <c r="S49" s="13">
        <v>2279883.5099999998</v>
      </c>
      <c r="T49" s="13">
        <v>2279883.5099999998</v>
      </c>
      <c r="U49" s="13">
        <f>T49</f>
        <v>2279883.5099999998</v>
      </c>
      <c r="V49" s="13">
        <v>1213737.3</v>
      </c>
      <c r="W49" s="13">
        <f>V49</f>
        <v>1213737.3</v>
      </c>
      <c r="X49" s="13">
        <v>2715689.65</v>
      </c>
      <c r="Y49" s="13">
        <v>4538198.45</v>
      </c>
      <c r="Z49" s="13">
        <v>2333908.7999999998</v>
      </c>
      <c r="AA49" s="13">
        <v>278419.20000000001</v>
      </c>
      <c r="AB49" s="13">
        <v>264537.2</v>
      </c>
      <c r="AC49" s="13">
        <v>2189666.65</v>
      </c>
      <c r="AD49" s="13">
        <f t="shared" si="19"/>
        <v>2454203.85</v>
      </c>
      <c r="AE49" s="17">
        <f t="shared" si="8"/>
        <v>-13882</v>
      </c>
      <c r="AF49" s="50">
        <f t="shared" si="74"/>
        <v>-261485.79999999981</v>
      </c>
      <c r="AG49" s="50">
        <f t="shared" si="82"/>
        <v>90.371292978930796</v>
      </c>
      <c r="AH49" s="12">
        <f t="shared" si="75"/>
        <v>-2083994.6</v>
      </c>
      <c r="AI49" s="50">
        <f t="shared" si="15"/>
        <v>54.078812926305595</v>
      </c>
      <c r="AJ49" s="13" t="e">
        <f>AD49-#REF!</f>
        <v>#REF!</v>
      </c>
      <c r="AK49" s="12" t="e">
        <f>IF(#REF!=0,0,AD49/#REF!*100)</f>
        <v>#REF!</v>
      </c>
      <c r="AL49" s="50">
        <f t="shared" si="9"/>
        <v>120295.05000000028</v>
      </c>
      <c r="AM49" s="50">
        <v>0</v>
      </c>
      <c r="AN49" s="13">
        <f t="shared" si="11"/>
        <v>1240466.55</v>
      </c>
      <c r="AO49" s="50">
        <v>0</v>
      </c>
      <c r="AP49" s="12">
        <f t="shared" si="76"/>
        <v>0</v>
      </c>
      <c r="AQ49" s="12">
        <f t="shared" si="77"/>
        <v>100</v>
      </c>
      <c r="AR49" s="36">
        <f>5544443-1188891</f>
        <v>4355552</v>
      </c>
    </row>
    <row r="50" spans="1:44" s="10" customFormat="1" ht="23.25" customHeight="1" x14ac:dyDescent="0.3">
      <c r="A50" s="9"/>
      <c r="B50" s="104" t="s">
        <v>1</v>
      </c>
      <c r="C50" s="104"/>
      <c r="D50" s="104"/>
      <c r="E50" s="104"/>
      <c r="F50" s="104"/>
      <c r="G50" s="104"/>
      <c r="H50" s="104"/>
      <c r="I50" s="104"/>
      <c r="J50" s="12">
        <f t="shared" ref="J50:Z50" si="96">J51+J52+J53+J54+J55+J57+J58</f>
        <v>1731743649.9200001</v>
      </c>
      <c r="K50" s="12">
        <f t="shared" si="96"/>
        <v>1726065816.5200002</v>
      </c>
      <c r="L50" s="30">
        <f t="shared" si="96"/>
        <v>754564037.68999994</v>
      </c>
      <c r="M50" s="30">
        <f t="shared" si="96"/>
        <v>750829669.28999996</v>
      </c>
      <c r="N50" s="12">
        <f t="shared" si="96"/>
        <v>1949401304.4499998</v>
      </c>
      <c r="O50" s="12">
        <f t="shared" si="96"/>
        <v>1942881158.9100001</v>
      </c>
      <c r="P50" s="12">
        <f t="shared" si="96"/>
        <v>1942881158.9100001</v>
      </c>
      <c r="Q50" s="12">
        <v>1942881158.9100001</v>
      </c>
      <c r="R50" s="12">
        <f t="shared" si="96"/>
        <v>1942881158.9100001</v>
      </c>
      <c r="S50" s="12">
        <f t="shared" ref="S50" si="97">S51+S52+S53+S54+S55+S57+S58</f>
        <v>2103801442.3299999</v>
      </c>
      <c r="T50" s="12">
        <f>T51+T52+T53+T54+T55+T57+T58+T56</f>
        <v>2042920361.22</v>
      </c>
      <c r="U50" s="12">
        <f t="shared" ref="U50:V50" si="98">U51+U52+U53+U54+U55+U57+U58</f>
        <v>2042920361.22</v>
      </c>
      <c r="V50" s="12">
        <f t="shared" si="98"/>
        <v>295717101.99000001</v>
      </c>
      <c r="W50" s="12">
        <f t="shared" ref="W50:X50" si="99">W51+W52+W53+W54+W55+W57+W58</f>
        <v>295717101.99000001</v>
      </c>
      <c r="X50" s="12">
        <f t="shared" si="99"/>
        <v>1741578685.6100001</v>
      </c>
      <c r="Y50" s="12">
        <f t="shared" si="96"/>
        <v>1820962238.5</v>
      </c>
      <c r="Z50" s="12">
        <f t="shared" si="96"/>
        <v>531101862.33999997</v>
      </c>
      <c r="AA50" s="12">
        <f>AA51+AA52+AA53+AA54+AA55+AA57+AA58+AA56</f>
        <v>33555878.630000003</v>
      </c>
      <c r="AB50" s="12">
        <f>AB51+AB52+AB53+AB54+AB55+AB57+AB58</f>
        <v>83135539.950000003</v>
      </c>
      <c r="AC50" s="12">
        <v>314020327.06</v>
      </c>
      <c r="AD50" s="12">
        <f t="shared" ref="AD50" si="100">AD51+AD52+AD53+AD54+AD55+AD57+AD58</f>
        <v>397155867.00999993</v>
      </c>
      <c r="AE50" s="12">
        <f t="shared" si="8"/>
        <v>49579661.32</v>
      </c>
      <c r="AF50" s="50">
        <f t="shared" si="74"/>
        <v>-1344422818.6000001</v>
      </c>
      <c r="AG50" s="50">
        <f t="shared" si="82"/>
        <v>22.804359647459357</v>
      </c>
      <c r="AH50" s="12">
        <f t="shared" si="75"/>
        <v>-1423806371.49</v>
      </c>
      <c r="AI50" s="50">
        <f t="shared" si="15"/>
        <v>21.810219817471513</v>
      </c>
      <c r="AJ50" s="12" t="e">
        <f>AD50-#REF!</f>
        <v>#REF!</v>
      </c>
      <c r="AK50" s="12" t="e">
        <f>IF(#REF!=0,0,AD50/#REF!*100)</f>
        <v>#REF!</v>
      </c>
      <c r="AL50" s="50">
        <f t="shared" si="9"/>
        <v>-133945995.33000004</v>
      </c>
      <c r="AM50" s="50">
        <f t="shared" si="10"/>
        <v>74.779603532203268</v>
      </c>
      <c r="AN50" s="12">
        <f t="shared" si="11"/>
        <v>101438765.01999992</v>
      </c>
      <c r="AO50" s="50">
        <v>0</v>
      </c>
      <c r="AP50" s="12">
        <f t="shared" si="76"/>
        <v>-353673802.28000003</v>
      </c>
      <c r="AQ50" s="12">
        <f t="shared" si="77"/>
        <v>52.895601126891897</v>
      </c>
      <c r="AR50" s="39" t="e">
        <f t="shared" ref="AR50" si="101">AR51+AR52+AR53+AR54+AR55+AR57+AR58</f>
        <v>#REF!</v>
      </c>
    </row>
    <row r="51" spans="1:44" s="10" customFormat="1" ht="38.25" customHeight="1" x14ac:dyDescent="0.3">
      <c r="A51" s="9"/>
      <c r="B51" s="104" t="s">
        <v>6</v>
      </c>
      <c r="C51" s="104"/>
      <c r="D51" s="104"/>
      <c r="E51" s="104"/>
      <c r="F51" s="104"/>
      <c r="G51" s="104"/>
      <c r="H51" s="104"/>
      <c r="I51" s="104"/>
      <c r="J51" s="12">
        <v>426424900</v>
      </c>
      <c r="K51" s="12">
        <f>J51</f>
        <v>426424900</v>
      </c>
      <c r="L51" s="33">
        <v>201489000</v>
      </c>
      <c r="M51" s="33">
        <f>L51</f>
        <v>201489000</v>
      </c>
      <c r="N51" s="12">
        <v>436509000</v>
      </c>
      <c r="O51" s="12">
        <v>436509000</v>
      </c>
      <c r="P51" s="12">
        <f t="shared" ref="P51:P58" si="102">O51</f>
        <v>436509000</v>
      </c>
      <c r="Q51" s="12">
        <v>436509000</v>
      </c>
      <c r="R51" s="12">
        <f t="shared" ref="R51:R58" si="103">Q51</f>
        <v>436509000</v>
      </c>
      <c r="S51" s="12">
        <v>438762000</v>
      </c>
      <c r="T51" s="12">
        <v>438762000</v>
      </c>
      <c r="U51" s="12">
        <f t="shared" ref="U51:W58" si="104">T51</f>
        <v>438762000</v>
      </c>
      <c r="V51" s="12">
        <v>95261455</v>
      </c>
      <c r="W51" s="12">
        <f t="shared" si="104"/>
        <v>95261455</v>
      </c>
      <c r="X51" s="12">
        <v>543282000</v>
      </c>
      <c r="Y51" s="12">
        <v>543282000</v>
      </c>
      <c r="Z51" s="12">
        <v>135820500</v>
      </c>
      <c r="AA51" s="12">
        <v>27407229</v>
      </c>
      <c r="AB51" s="12">
        <v>0</v>
      </c>
      <c r="AC51" s="12">
        <v>117954229</v>
      </c>
      <c r="AD51" s="12">
        <f t="shared" si="19"/>
        <v>117954229</v>
      </c>
      <c r="AE51" s="12">
        <f t="shared" si="8"/>
        <v>-27407229</v>
      </c>
      <c r="AF51" s="50">
        <f t="shared" si="74"/>
        <v>-425327771</v>
      </c>
      <c r="AG51" s="50">
        <f t="shared" si="82"/>
        <v>21.711418563471639</v>
      </c>
      <c r="AH51" s="12">
        <f t="shared" si="75"/>
        <v>-425327771</v>
      </c>
      <c r="AI51" s="50">
        <f t="shared" si="15"/>
        <v>21.711418563471639</v>
      </c>
      <c r="AJ51" s="12" t="e">
        <f>AD51-#REF!</f>
        <v>#REF!</v>
      </c>
      <c r="AK51" s="12" t="e">
        <f>IF(#REF!=0,0,AD51/#REF!*100)</f>
        <v>#REF!</v>
      </c>
      <c r="AL51" s="50">
        <f t="shared" si="9"/>
        <v>-17866271</v>
      </c>
      <c r="AM51" s="50">
        <f t="shared" si="10"/>
        <v>86.845674253886557</v>
      </c>
      <c r="AN51" s="12">
        <f t="shared" si="11"/>
        <v>22692774</v>
      </c>
      <c r="AO51" s="50">
        <v>0</v>
      </c>
      <c r="AP51" s="12">
        <f t="shared" si="76"/>
        <v>-83534771</v>
      </c>
      <c r="AQ51" s="12">
        <f t="shared" si="77"/>
        <v>58.541274709785654</v>
      </c>
      <c r="AR51" s="39">
        <v>436509000</v>
      </c>
    </row>
    <row r="52" spans="1:44" s="10" customFormat="1" ht="43.5" customHeight="1" x14ac:dyDescent="0.3">
      <c r="A52" s="9"/>
      <c r="B52" s="104" t="s">
        <v>5</v>
      </c>
      <c r="C52" s="104"/>
      <c r="D52" s="104"/>
      <c r="E52" s="104"/>
      <c r="F52" s="104"/>
      <c r="G52" s="104"/>
      <c r="H52" s="104"/>
      <c r="I52" s="104"/>
      <c r="J52" s="12">
        <v>276999912.48000002</v>
      </c>
      <c r="K52" s="12">
        <f>J52</f>
        <v>276999912.48000002</v>
      </c>
      <c r="L52" s="33">
        <v>68252184.099999994</v>
      </c>
      <c r="M52" s="33">
        <f>L52</f>
        <v>68252184.099999994</v>
      </c>
      <c r="N52" s="12">
        <v>269127448.56</v>
      </c>
      <c r="O52" s="12">
        <v>266680542.02000001</v>
      </c>
      <c r="P52" s="12">
        <f t="shared" si="102"/>
        <v>266680542.02000001</v>
      </c>
      <c r="Q52" s="12">
        <v>266680542.02000001</v>
      </c>
      <c r="R52" s="12">
        <f t="shared" si="103"/>
        <v>266680542.02000001</v>
      </c>
      <c r="S52" s="12">
        <v>334173445.74000001</v>
      </c>
      <c r="T52" s="12">
        <v>272079804.92000002</v>
      </c>
      <c r="U52" s="12">
        <f t="shared" si="104"/>
        <v>272079804.92000002</v>
      </c>
      <c r="V52" s="12">
        <v>5455984.8700000001</v>
      </c>
      <c r="W52" s="12">
        <f t="shared" si="104"/>
        <v>5455984.8700000001</v>
      </c>
      <c r="X52" s="12">
        <v>164450526.09999999</v>
      </c>
      <c r="Y52" s="12">
        <v>242834078.99000001</v>
      </c>
      <c r="Z52" s="12">
        <v>14772255.119999999</v>
      </c>
      <c r="AA52" s="12">
        <v>15772.21</v>
      </c>
      <c r="AB52" s="12">
        <v>1600000</v>
      </c>
      <c r="AC52" s="12">
        <v>5563769.0899999999</v>
      </c>
      <c r="AD52" s="12">
        <f t="shared" si="19"/>
        <v>7163769.0899999999</v>
      </c>
      <c r="AE52" s="12">
        <f t="shared" si="8"/>
        <v>1584227.79</v>
      </c>
      <c r="AF52" s="50">
        <f t="shared" si="74"/>
        <v>-157286757.00999999</v>
      </c>
      <c r="AG52" s="50">
        <f t="shared" si="82"/>
        <v>4.3561849632781442</v>
      </c>
      <c r="AH52" s="12">
        <f t="shared" si="75"/>
        <v>-235670309.90000001</v>
      </c>
      <c r="AI52" s="50">
        <f t="shared" si="15"/>
        <v>2.9500674369082298</v>
      </c>
      <c r="AJ52" s="12" t="e">
        <f>AD52-#REF!</f>
        <v>#REF!</v>
      </c>
      <c r="AK52" s="12" t="e">
        <f>IF(#REF!=0,0,AD52/#REF!*100)</f>
        <v>#REF!</v>
      </c>
      <c r="AL52" s="50">
        <f t="shared" si="9"/>
        <v>-7608486.0299999993</v>
      </c>
      <c r="AM52" s="50">
        <f t="shared" si="10"/>
        <v>48.494756093814331</v>
      </c>
      <c r="AN52" s="12">
        <f t="shared" si="11"/>
        <v>1707784.2199999997</v>
      </c>
      <c r="AO52" s="50">
        <v>0</v>
      </c>
      <c r="AP52" s="12">
        <f t="shared" si="76"/>
        <v>-61088415.00999999</v>
      </c>
      <c r="AQ52" s="12">
        <f t="shared" si="77"/>
        <v>10.496029078723652</v>
      </c>
      <c r="AR52" s="39" t="e">
        <f>#REF!</f>
        <v>#REF!</v>
      </c>
    </row>
    <row r="53" spans="1:44" s="10" customFormat="1" ht="45" customHeight="1" x14ac:dyDescent="0.3">
      <c r="A53" s="9"/>
      <c r="B53" s="104" t="s">
        <v>4</v>
      </c>
      <c r="C53" s="104"/>
      <c r="D53" s="104"/>
      <c r="E53" s="104"/>
      <c r="F53" s="104"/>
      <c r="G53" s="104"/>
      <c r="H53" s="104"/>
      <c r="I53" s="104"/>
      <c r="J53" s="12">
        <v>1016038865.97</v>
      </c>
      <c r="K53" s="12">
        <f>J53</f>
        <v>1016038865.97</v>
      </c>
      <c r="L53" s="33">
        <v>484498682.12</v>
      </c>
      <c r="M53" s="33">
        <f>L53</f>
        <v>484498682.12</v>
      </c>
      <c r="N53" s="12">
        <v>1212771110.75</v>
      </c>
      <c r="O53" s="12">
        <v>1213354064.45</v>
      </c>
      <c r="P53" s="12">
        <f t="shared" si="102"/>
        <v>1213354064.45</v>
      </c>
      <c r="Q53" s="12">
        <v>1213354064.45</v>
      </c>
      <c r="R53" s="12">
        <f t="shared" si="103"/>
        <v>1213354064.45</v>
      </c>
      <c r="S53" s="12">
        <f>1189020177.56+105547909.8</f>
        <v>1294568087.3599999</v>
      </c>
      <c r="T53" s="12">
        <v>1296521696.0999999</v>
      </c>
      <c r="U53" s="12">
        <f t="shared" si="104"/>
        <v>1296521696.0999999</v>
      </c>
      <c r="V53" s="12">
        <v>281693056.26999998</v>
      </c>
      <c r="W53" s="12">
        <f t="shared" si="104"/>
        <v>281693056.26999998</v>
      </c>
      <c r="X53" s="12">
        <v>1032066181.7</v>
      </c>
      <c r="Y53" s="12">
        <v>1032066181.7</v>
      </c>
      <c r="Z53" s="12">
        <v>379087970.13</v>
      </c>
      <c r="AA53" s="12">
        <v>4521039.38</v>
      </c>
      <c r="AB53" s="12">
        <v>81537239.950000003</v>
      </c>
      <c r="AC53" s="12">
        <v>189677779.82999998</v>
      </c>
      <c r="AD53" s="12">
        <f t="shared" si="19"/>
        <v>271215019.77999997</v>
      </c>
      <c r="AE53" s="12">
        <f t="shared" si="8"/>
        <v>77016200.570000008</v>
      </c>
      <c r="AF53" s="50">
        <f t="shared" si="74"/>
        <v>-760851161.92000008</v>
      </c>
      <c r="AG53" s="50">
        <f t="shared" si="82"/>
        <v>26.278839922189846</v>
      </c>
      <c r="AH53" s="12">
        <f t="shared" si="75"/>
        <v>-760851161.92000008</v>
      </c>
      <c r="AI53" s="50">
        <f t="shared" si="15"/>
        <v>26.278839922189846</v>
      </c>
      <c r="AJ53" s="12" t="e">
        <f>AD53-#REF!</f>
        <v>#REF!</v>
      </c>
      <c r="AK53" s="12" t="e">
        <f>IF(#REF!=0,0,AD53/#REF!*100)</f>
        <v>#REF!</v>
      </c>
      <c r="AL53" s="50">
        <f t="shared" si="9"/>
        <v>-107872950.35000002</v>
      </c>
      <c r="AM53" s="50">
        <f t="shared" si="10"/>
        <v>71.544085054187462</v>
      </c>
      <c r="AN53" s="12">
        <f t="shared" si="11"/>
        <v>-10478036.49000001</v>
      </c>
      <c r="AO53" s="50">
        <v>0</v>
      </c>
      <c r="AP53" s="12">
        <f t="shared" si="76"/>
        <v>-213283662.34000003</v>
      </c>
      <c r="AQ53" s="12">
        <f t="shared" si="77"/>
        <v>55.978484522033391</v>
      </c>
      <c r="AR53" s="39" t="e">
        <f>#REF!</f>
        <v>#REF!</v>
      </c>
    </row>
    <row r="54" spans="1:44" s="10" customFormat="1" ht="27" customHeight="1" x14ac:dyDescent="0.3">
      <c r="A54" s="9"/>
      <c r="B54" s="104" t="s">
        <v>3</v>
      </c>
      <c r="C54" s="104"/>
      <c r="D54" s="104"/>
      <c r="E54" s="104"/>
      <c r="F54" s="104"/>
      <c r="G54" s="104"/>
      <c r="H54" s="104"/>
      <c r="I54" s="104"/>
      <c r="J54" s="12">
        <v>11684333.98</v>
      </c>
      <c r="K54" s="12">
        <f>J54</f>
        <v>11684333.98</v>
      </c>
      <c r="L54" s="33">
        <v>529400.43000000005</v>
      </c>
      <c r="M54" s="33">
        <f>L54</f>
        <v>529400.43000000005</v>
      </c>
      <c r="N54" s="12">
        <v>36412363.109999999</v>
      </c>
      <c r="O54" s="12">
        <v>31536396.41</v>
      </c>
      <c r="P54" s="12">
        <f t="shared" si="102"/>
        <v>31536396.41</v>
      </c>
      <c r="Q54" s="12">
        <v>31536396.41</v>
      </c>
      <c r="R54" s="12">
        <f t="shared" si="103"/>
        <v>31536396.41</v>
      </c>
      <c r="S54" s="12">
        <v>59992663.990000002</v>
      </c>
      <c r="T54" s="12">
        <v>59251614.960000001</v>
      </c>
      <c r="U54" s="12">
        <f t="shared" si="104"/>
        <v>59251614.960000001</v>
      </c>
      <c r="V54" s="12">
        <v>390698.08</v>
      </c>
      <c r="W54" s="12">
        <f t="shared" si="104"/>
        <v>390698.08</v>
      </c>
      <c r="X54" s="12">
        <v>1779977.81</v>
      </c>
      <c r="Y54" s="12">
        <v>2779977.81</v>
      </c>
      <c r="Z54" s="12">
        <v>1421137.09</v>
      </c>
      <c r="AA54" s="12">
        <v>1140379.03</v>
      </c>
      <c r="AB54" s="12">
        <v>0</v>
      </c>
      <c r="AC54" s="12">
        <v>1421137.09</v>
      </c>
      <c r="AD54" s="12">
        <f t="shared" si="19"/>
        <v>1421137.09</v>
      </c>
      <c r="AE54" s="12">
        <f t="shared" si="8"/>
        <v>-1140379.03</v>
      </c>
      <c r="AF54" s="50">
        <f t="shared" si="74"/>
        <v>-358840.72</v>
      </c>
      <c r="AG54" s="50">
        <f t="shared" si="82"/>
        <v>79.840157670280178</v>
      </c>
      <c r="AH54" s="12">
        <f t="shared" si="75"/>
        <v>-1358840.72</v>
      </c>
      <c r="AI54" s="50">
        <f t="shared" si="15"/>
        <v>51.120447252778618</v>
      </c>
      <c r="AJ54" s="12" t="e">
        <f>AD54-#REF!</f>
        <v>#REF!</v>
      </c>
      <c r="AK54" s="12" t="e">
        <f>IF(#REF!=0,0,AD54/#REF!*100)</f>
        <v>#REF!</v>
      </c>
      <c r="AL54" s="50">
        <f t="shared" si="9"/>
        <v>0</v>
      </c>
      <c r="AM54" s="50">
        <f t="shared" si="10"/>
        <v>100</v>
      </c>
      <c r="AN54" s="12">
        <f t="shared" si="11"/>
        <v>1030439.01</v>
      </c>
      <c r="AO54" s="50">
        <v>0</v>
      </c>
      <c r="AP54" s="12">
        <f t="shared" si="76"/>
        <v>891736.66</v>
      </c>
      <c r="AQ54" s="12">
        <f t="shared" si="77"/>
        <v>268.44275324823593</v>
      </c>
      <c r="AR54" s="39" t="e">
        <f>#REF!</f>
        <v>#REF!</v>
      </c>
    </row>
    <row r="55" spans="1:44" s="10" customFormat="1" ht="39" customHeight="1" x14ac:dyDescent="0.3">
      <c r="A55" s="9"/>
      <c r="B55" s="104" t="s">
        <v>2</v>
      </c>
      <c r="C55" s="104"/>
      <c r="D55" s="104"/>
      <c r="E55" s="104"/>
      <c r="F55" s="104"/>
      <c r="G55" s="104"/>
      <c r="H55" s="104"/>
      <c r="I55" s="104"/>
      <c r="J55" s="12">
        <v>6004588.7999999998</v>
      </c>
      <c r="K55" s="15">
        <f>J55-5677833.4</f>
        <v>326755.39999999944</v>
      </c>
      <c r="L55" s="31">
        <v>3749513.5</v>
      </c>
      <c r="M55" s="31">
        <v>15145.1</v>
      </c>
      <c r="N55" s="12">
        <v>78874.100000000006</v>
      </c>
      <c r="O55" s="12">
        <v>18244.099999999999</v>
      </c>
      <c r="P55" s="12">
        <f t="shared" si="102"/>
        <v>18244.099999999999</v>
      </c>
      <c r="Q55" s="12">
        <v>18244.099999999999</v>
      </c>
      <c r="R55" s="12">
        <f t="shared" si="103"/>
        <v>18244.099999999999</v>
      </c>
      <c r="S55" s="12">
        <v>76908.460000000006</v>
      </c>
      <c r="T55" s="12">
        <v>76908.460000000006</v>
      </c>
      <c r="U55" s="12">
        <f t="shared" si="104"/>
        <v>76908.460000000006</v>
      </c>
      <c r="V55" s="12">
        <v>12876.38</v>
      </c>
      <c r="W55" s="12">
        <f t="shared" si="104"/>
        <v>12876.38</v>
      </c>
      <c r="X55" s="12">
        <v>0</v>
      </c>
      <c r="Y55" s="12">
        <v>0</v>
      </c>
      <c r="Z55" s="12">
        <v>0</v>
      </c>
      <c r="AA55" s="12">
        <v>1150</v>
      </c>
      <c r="AB55" s="12">
        <v>-1150</v>
      </c>
      <c r="AC55" s="12">
        <v>3193.4</v>
      </c>
      <c r="AD55" s="12">
        <f t="shared" si="19"/>
        <v>2043.4</v>
      </c>
      <c r="AE55" s="12">
        <f t="shared" si="8"/>
        <v>-2300</v>
      </c>
      <c r="AF55" s="50">
        <f t="shared" si="74"/>
        <v>2043.4</v>
      </c>
      <c r="AG55" s="50">
        <v>0</v>
      </c>
      <c r="AH55" s="12">
        <f t="shared" si="75"/>
        <v>2043.4</v>
      </c>
      <c r="AI55" s="50">
        <v>0</v>
      </c>
      <c r="AJ55" s="12" t="e">
        <f>AD55-#REF!</f>
        <v>#REF!</v>
      </c>
      <c r="AK55" s="12" t="e">
        <f>IF(#REF!=0,0,AD55/#REF!*100)</f>
        <v>#REF!</v>
      </c>
      <c r="AL55" s="50">
        <f t="shared" si="9"/>
        <v>2043.4</v>
      </c>
      <c r="AM55" s="50">
        <v>0</v>
      </c>
      <c r="AN55" s="12">
        <f t="shared" si="11"/>
        <v>-10832.98</v>
      </c>
      <c r="AO55" s="50">
        <v>0</v>
      </c>
      <c r="AP55" s="12">
        <f t="shared" si="76"/>
        <v>-13101.7</v>
      </c>
      <c r="AQ55" s="12">
        <f t="shared" si="77"/>
        <v>13.492152577401272</v>
      </c>
      <c r="AR55" s="39">
        <f>AD55</f>
        <v>2043.4</v>
      </c>
    </row>
    <row r="56" spans="1:44" s="10" customFormat="1" ht="171.75" customHeight="1" x14ac:dyDescent="0.3">
      <c r="A56" s="9"/>
      <c r="B56" s="65"/>
      <c r="C56" s="65"/>
      <c r="D56" s="65"/>
      <c r="E56" s="65"/>
      <c r="F56" s="65"/>
      <c r="G56" s="65"/>
      <c r="H56" s="65"/>
      <c r="I56" s="68" t="s">
        <v>70</v>
      </c>
      <c r="J56" s="60"/>
      <c r="K56" s="61"/>
      <c r="L56" s="31"/>
      <c r="M56" s="31"/>
      <c r="N56" s="12"/>
      <c r="O56" s="12"/>
      <c r="P56" s="12">
        <v>0</v>
      </c>
      <c r="Q56" s="12"/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f t="shared" si="19"/>
        <v>0</v>
      </c>
      <c r="AE56" s="12">
        <f>AB56-AA56</f>
        <v>0</v>
      </c>
      <c r="AF56" s="50">
        <f t="shared" si="74"/>
        <v>0</v>
      </c>
      <c r="AG56" s="50">
        <v>0</v>
      </c>
      <c r="AH56" s="12">
        <f t="shared" si="75"/>
        <v>0</v>
      </c>
      <c r="AI56" s="50">
        <v>0</v>
      </c>
      <c r="AJ56" s="12" t="e">
        <f>AD56-#REF!</f>
        <v>#REF!</v>
      </c>
      <c r="AK56" s="12" t="e">
        <f>IF(#REF!=0,0,AD56/#REF!*100)</f>
        <v>#REF!</v>
      </c>
      <c r="AL56" s="50">
        <f t="shared" si="9"/>
        <v>0</v>
      </c>
      <c r="AM56" s="50">
        <v>0</v>
      </c>
      <c r="AN56" s="12">
        <f>AD56-W56</f>
        <v>0</v>
      </c>
      <c r="AO56" s="50">
        <v>0</v>
      </c>
      <c r="AP56" s="12"/>
      <c r="AQ56" s="12"/>
      <c r="AR56" s="39"/>
    </row>
    <row r="57" spans="1:44" s="10" customFormat="1" ht="120" customHeight="1" x14ac:dyDescent="0.3">
      <c r="A57" s="9"/>
      <c r="B57" s="65"/>
      <c r="C57" s="65"/>
      <c r="D57" s="65"/>
      <c r="E57" s="65"/>
      <c r="F57" s="65"/>
      <c r="G57" s="65"/>
      <c r="H57" s="65"/>
      <c r="I57" s="65" t="s">
        <v>43</v>
      </c>
      <c r="J57" s="12">
        <v>0</v>
      </c>
      <c r="K57" s="12">
        <f>J57</f>
        <v>0</v>
      </c>
      <c r="L57" s="33">
        <v>0</v>
      </c>
      <c r="M57" s="33">
        <f>L57</f>
        <v>0</v>
      </c>
      <c r="N57" s="12">
        <v>0</v>
      </c>
      <c r="O57" s="12">
        <v>280404</v>
      </c>
      <c r="P57" s="12">
        <f t="shared" si="102"/>
        <v>280404</v>
      </c>
      <c r="Q57" s="12">
        <v>280404</v>
      </c>
      <c r="R57" s="12">
        <f t="shared" si="103"/>
        <v>280404</v>
      </c>
      <c r="S57" s="12">
        <v>0</v>
      </c>
      <c r="T57" s="12">
        <v>0</v>
      </c>
      <c r="U57" s="12">
        <f t="shared" si="104"/>
        <v>0</v>
      </c>
      <c r="V57" s="12">
        <v>235045.3</v>
      </c>
      <c r="W57" s="12">
        <f t="shared" si="104"/>
        <v>235045.3</v>
      </c>
      <c r="X57" s="12">
        <v>0</v>
      </c>
      <c r="Y57" s="12">
        <v>0</v>
      </c>
      <c r="Z57" s="12">
        <v>0</v>
      </c>
      <c r="AA57" s="12">
        <v>-27124.19</v>
      </c>
      <c r="AB57" s="12">
        <v>-550</v>
      </c>
      <c r="AC57" s="12">
        <v>550.13999999999942</v>
      </c>
      <c r="AD57" s="12">
        <f t="shared" si="19"/>
        <v>0.13999999999941792</v>
      </c>
      <c r="AE57" s="12">
        <f t="shared" si="8"/>
        <v>26574.19</v>
      </c>
      <c r="AF57" s="50">
        <f t="shared" si="74"/>
        <v>0.13999999999941792</v>
      </c>
      <c r="AG57" s="50">
        <v>0</v>
      </c>
      <c r="AH57" s="12">
        <f t="shared" si="75"/>
        <v>0.13999999999941792</v>
      </c>
      <c r="AI57" s="50">
        <v>0</v>
      </c>
      <c r="AJ57" s="12" t="e">
        <f>AD57-#REF!</f>
        <v>#REF!</v>
      </c>
      <c r="AK57" s="12" t="e">
        <f>IF(#REF!=0,0,AD57/#REF!*100)</f>
        <v>#REF!</v>
      </c>
      <c r="AL57" s="50">
        <f t="shared" si="9"/>
        <v>0.13999999999941792</v>
      </c>
      <c r="AM57" s="50">
        <v>0</v>
      </c>
      <c r="AN57" s="12">
        <f t="shared" si="11"/>
        <v>-235045.15999999997</v>
      </c>
      <c r="AO57" s="50">
        <v>0</v>
      </c>
      <c r="AP57" s="12">
        <f>AD57-M57</f>
        <v>0.13999999999941792</v>
      </c>
      <c r="AQ57" s="12">
        <f>IF(M57=0,0,AD57/M57*100)</f>
        <v>0</v>
      </c>
      <c r="AR57" s="39">
        <f>AD57</f>
        <v>0.13999999999941792</v>
      </c>
    </row>
    <row r="58" spans="1:44" s="10" customFormat="1" ht="78.75" customHeight="1" x14ac:dyDescent="0.3">
      <c r="A58" s="9"/>
      <c r="B58" s="104" t="s">
        <v>0</v>
      </c>
      <c r="C58" s="104"/>
      <c r="D58" s="104"/>
      <c r="E58" s="104"/>
      <c r="F58" s="104"/>
      <c r="G58" s="104"/>
      <c r="H58" s="104"/>
      <c r="I58" s="104"/>
      <c r="J58" s="12">
        <v>-5408951.3099999996</v>
      </c>
      <c r="K58" s="12">
        <f>J58</f>
        <v>-5408951.3099999996</v>
      </c>
      <c r="L58" s="33">
        <v>-3954742.46</v>
      </c>
      <c r="M58" s="33">
        <f>L58</f>
        <v>-3954742.46</v>
      </c>
      <c r="N58" s="12">
        <v>-5497492.0700000003</v>
      </c>
      <c r="O58" s="12">
        <v>-5497492.0700000003</v>
      </c>
      <c r="P58" s="12">
        <f t="shared" si="102"/>
        <v>-5497492.0700000003</v>
      </c>
      <c r="Q58" s="12">
        <v>-5497492.0700000003</v>
      </c>
      <c r="R58" s="12">
        <f t="shared" si="103"/>
        <v>-5497492.0700000003</v>
      </c>
      <c r="S58" s="12">
        <v>-23771663.220000003</v>
      </c>
      <c r="T58" s="12">
        <v>-23771663.219999999</v>
      </c>
      <c r="U58" s="12">
        <f t="shared" si="104"/>
        <v>-23771663.219999999</v>
      </c>
      <c r="V58" s="12">
        <v>-87332013.909999996</v>
      </c>
      <c r="W58" s="12">
        <f t="shared" si="104"/>
        <v>-87332013.909999996</v>
      </c>
      <c r="X58" s="12">
        <v>0</v>
      </c>
      <c r="Y58" s="12">
        <v>0</v>
      </c>
      <c r="Z58" s="12">
        <v>0</v>
      </c>
      <c r="AA58" s="12">
        <v>497433.2</v>
      </c>
      <c r="AB58" s="12">
        <v>0</v>
      </c>
      <c r="AC58" s="12">
        <v>-600331.49</v>
      </c>
      <c r="AD58" s="12">
        <f t="shared" si="19"/>
        <v>-600331.49</v>
      </c>
      <c r="AE58" s="12">
        <f t="shared" si="8"/>
        <v>-497433.2</v>
      </c>
      <c r="AF58" s="50">
        <f t="shared" si="74"/>
        <v>-600331.49</v>
      </c>
      <c r="AG58" s="50">
        <v>0</v>
      </c>
      <c r="AH58" s="12">
        <f t="shared" si="75"/>
        <v>-600331.49</v>
      </c>
      <c r="AI58" s="50">
        <v>0</v>
      </c>
      <c r="AJ58" s="12" t="e">
        <f>AD58-#REF!</f>
        <v>#REF!</v>
      </c>
      <c r="AK58" s="12" t="e">
        <f>IF(#REF!=0,0,AD58/#REF!*100)</f>
        <v>#REF!</v>
      </c>
      <c r="AL58" s="50">
        <f t="shared" si="9"/>
        <v>-600331.49</v>
      </c>
      <c r="AM58" s="50">
        <v>0</v>
      </c>
      <c r="AN58" s="12">
        <f t="shared" si="11"/>
        <v>86731682.420000002</v>
      </c>
      <c r="AO58" s="50">
        <v>0</v>
      </c>
      <c r="AP58" s="12">
        <f>AD58-M58</f>
        <v>3354410.9699999997</v>
      </c>
      <c r="AQ58" s="12">
        <f>IF(M58=0,0,AD58/M58*100)</f>
        <v>15.180040067640713</v>
      </c>
      <c r="AR58" s="39">
        <f>AD58</f>
        <v>-600331.49</v>
      </c>
    </row>
    <row r="59" spans="1:44" s="5" customFormat="1" ht="18.75" x14ac:dyDescent="0.3">
      <c r="A59" s="4"/>
      <c r="B59" s="8"/>
      <c r="C59" s="8"/>
      <c r="D59" s="8"/>
      <c r="E59" s="8"/>
      <c r="F59" s="8"/>
      <c r="G59" s="8"/>
      <c r="H59" s="8"/>
      <c r="I59" s="8"/>
      <c r="J59" s="13">
        <f t="shared" ref="J59:AB59" si="105">J50+J7</f>
        <v>2092393430.8699999</v>
      </c>
      <c r="K59" s="13">
        <f t="shared" si="105"/>
        <v>2072707717.7351346</v>
      </c>
      <c r="L59" s="32">
        <f t="shared" si="105"/>
        <v>881017080.54999995</v>
      </c>
      <c r="M59" s="30">
        <f t="shared" si="105"/>
        <v>872261444.06554317</v>
      </c>
      <c r="N59" s="12">
        <f t="shared" si="105"/>
        <v>2309803775.2699995</v>
      </c>
      <c r="O59" s="12">
        <f t="shared" si="105"/>
        <v>2328450949.6999998</v>
      </c>
      <c r="P59" s="12">
        <f t="shared" si="105"/>
        <v>2327457942.815587</v>
      </c>
      <c r="Q59" s="12">
        <f t="shared" si="105"/>
        <v>2328450949.6999998</v>
      </c>
      <c r="R59" s="12">
        <f t="shared" si="105"/>
        <v>2324740009.4155874</v>
      </c>
      <c r="S59" s="12">
        <f>S50+S7</f>
        <v>2486687790.5499997</v>
      </c>
      <c r="T59" s="12">
        <f>T50+T7</f>
        <v>2448866192.1799998</v>
      </c>
      <c r="U59" s="12">
        <f>U50+U7</f>
        <v>2457887450.5146742</v>
      </c>
      <c r="V59" s="12">
        <f>V50+V7</f>
        <v>347502236.90000004</v>
      </c>
      <c r="W59" s="12">
        <f>W50+W7</f>
        <v>348709967.81223834</v>
      </c>
      <c r="X59" s="12">
        <f t="shared" ref="X59" si="106">X50+X7</f>
        <v>2141993785.2600002</v>
      </c>
      <c r="Y59" s="12">
        <f t="shared" si="105"/>
        <v>2264059612.7199998</v>
      </c>
      <c r="Z59" s="12">
        <f t="shared" si="105"/>
        <v>611065635.50999999</v>
      </c>
      <c r="AA59" s="12">
        <f t="shared" ref="AA59" si="107">AA50+AA7</f>
        <v>50692624.850000009</v>
      </c>
      <c r="AB59" s="12">
        <f t="shared" si="105"/>
        <v>92575716.439999998</v>
      </c>
      <c r="AC59" s="12">
        <f>AC50+AC7</f>
        <v>352093972.89999998</v>
      </c>
      <c r="AD59" s="12">
        <f>AD50+AD7</f>
        <v>444669689.33999991</v>
      </c>
      <c r="AE59" s="12">
        <f t="shared" si="8"/>
        <v>41883091.589999989</v>
      </c>
      <c r="AF59" s="12">
        <f t="shared" si="74"/>
        <v>-1697324095.9200003</v>
      </c>
      <c r="AG59" s="12">
        <f>AD59/X59*100</f>
        <v>20.759616222977272</v>
      </c>
      <c r="AH59" s="12">
        <f t="shared" si="75"/>
        <v>-1819389923.3799999</v>
      </c>
      <c r="AI59" s="12">
        <f t="shared" si="15"/>
        <v>19.640370193511906</v>
      </c>
      <c r="AJ59" s="12" t="e">
        <f>AD59-#REF!</f>
        <v>#REF!</v>
      </c>
      <c r="AK59" s="12" t="e">
        <f>IF(#REF!=0,0,AD59/#REF!*100)</f>
        <v>#REF!</v>
      </c>
      <c r="AL59" s="12">
        <f t="shared" si="9"/>
        <v>-166395946.17000008</v>
      </c>
      <c r="AM59" s="12">
        <f t="shared" si="10"/>
        <v>72.769546101029761</v>
      </c>
      <c r="AN59" s="12">
        <f t="shared" si="11"/>
        <v>95959721.527761579</v>
      </c>
      <c r="AO59" s="12">
        <f t="shared" si="16"/>
        <v>127.51849112022823</v>
      </c>
      <c r="AP59" s="12">
        <f>AD59-M59</f>
        <v>-427591754.72554326</v>
      </c>
      <c r="AQ59" s="12">
        <f>IF(M59=0,0,AD59/M59*100)</f>
        <v>50.978945861395509</v>
      </c>
      <c r="AR59" s="36" t="e">
        <f>AR50+AR7</f>
        <v>#REF!</v>
      </c>
    </row>
    <row r="60" spans="1:44" s="5" customFormat="1" ht="18.75" x14ac:dyDescent="0.3">
      <c r="A60" s="4"/>
      <c r="B60" s="4"/>
      <c r="C60" s="4"/>
      <c r="D60" s="4"/>
      <c r="E60" s="4"/>
      <c r="F60" s="4"/>
      <c r="G60" s="4"/>
      <c r="H60" s="4"/>
      <c r="I60" s="4"/>
      <c r="J60" s="28"/>
      <c r="K60" s="28"/>
      <c r="L60" s="4"/>
      <c r="M60" s="4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9"/>
      <c r="AK60" s="24"/>
      <c r="AL60" s="25"/>
      <c r="AM60" s="25"/>
      <c r="AN60" s="28"/>
      <c r="AO60" s="25"/>
      <c r="AP60" s="25"/>
      <c r="AQ60" s="34"/>
    </row>
    <row r="61" spans="1:44" s="5" customFormat="1" ht="18.75" x14ac:dyDescent="0.3">
      <c r="I61" s="5" t="s">
        <v>53</v>
      </c>
      <c r="J61" s="5" t="s">
        <v>42</v>
      </c>
      <c r="N61" s="5" t="s">
        <v>42</v>
      </c>
      <c r="Q61" s="18"/>
      <c r="R61" s="18"/>
      <c r="S61" s="18"/>
      <c r="T61" s="18"/>
      <c r="U61" s="18"/>
      <c r="V61" s="18"/>
      <c r="W61" s="18"/>
      <c r="X61" s="18"/>
      <c r="Y61" s="18"/>
      <c r="Z61" s="18"/>
      <c r="AB61" s="72"/>
      <c r="AC61" s="73"/>
      <c r="AD61" s="72"/>
      <c r="AH61" s="72"/>
      <c r="AI61" s="108"/>
      <c r="AJ61" s="108"/>
      <c r="AK61" s="108"/>
      <c r="AL61" s="108"/>
      <c r="AM61" s="108"/>
      <c r="AN61" s="108"/>
    </row>
    <row r="62" spans="1:44" s="5" customFormat="1" ht="18.75" x14ac:dyDescent="0.3">
      <c r="I62" s="5" t="s">
        <v>46</v>
      </c>
      <c r="O62" s="5" t="s">
        <v>42</v>
      </c>
      <c r="Q62" s="18"/>
      <c r="Y62" s="5" t="s">
        <v>42</v>
      </c>
    </row>
    <row r="63" spans="1:44" s="5" customFormat="1" ht="18.75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71"/>
      <c r="AE63" s="4"/>
      <c r="AF63" s="4"/>
      <c r="AG63" s="4"/>
      <c r="AH63" s="4"/>
      <c r="AI63" s="4"/>
      <c r="AJ63" s="4"/>
      <c r="AK63" s="25"/>
      <c r="AL63" s="25"/>
      <c r="AM63" s="25"/>
      <c r="AN63" s="4"/>
      <c r="AO63" s="4"/>
      <c r="AP63" s="4"/>
    </row>
    <row r="64" spans="1:44" s="5" customFormat="1" ht="18.75" hidden="1" x14ac:dyDescent="0.3">
      <c r="I64" s="5" t="s">
        <v>53</v>
      </c>
      <c r="J64" s="5" t="s">
        <v>42</v>
      </c>
      <c r="N64" s="5" t="s">
        <v>42</v>
      </c>
      <c r="O64" s="5" t="s">
        <v>42</v>
      </c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9:28" s="5" customFormat="1" ht="18.75" hidden="1" x14ac:dyDescent="0.3">
      <c r="I65" s="5" t="s">
        <v>46</v>
      </c>
      <c r="R65" s="5" t="s">
        <v>42</v>
      </c>
    </row>
    <row r="66" spans="9:28" s="5" customFormat="1" ht="18.75" x14ac:dyDescent="0.3">
      <c r="Q66" s="18"/>
      <c r="V66" s="18"/>
    </row>
    <row r="67" spans="9:28" x14ac:dyDescent="0.2">
      <c r="Q67" s="16"/>
      <c r="AB67" s="16"/>
    </row>
    <row r="68" spans="9:28" x14ac:dyDescent="0.2">
      <c r="K68" s="16"/>
      <c r="P68" s="16"/>
      <c r="Q68" s="16"/>
    </row>
    <row r="69" spans="9:28" x14ac:dyDescent="0.2">
      <c r="Q69" s="16"/>
    </row>
    <row r="72" spans="9:28" x14ac:dyDescent="0.2">
      <c r="Q72" s="16"/>
    </row>
  </sheetData>
  <customSheetViews>
    <customSheetView guid="{117A7AA9-056F-4018-98AD-EAECFC43F1B3}" scale="75" showPageBreaks="1" showGridLines="0" fitToPage="1" printArea="1" showAutoFilter="1" hiddenRows="1" hiddenColumns="1" view="pageBreakPreview" topLeftCell="I1">
      <pane xSplit="11" ySplit="6" topLeftCell="AD7" activePane="bottomRight" state="frozen"/>
      <selection pane="bottomRight" activeCell="AL5" sqref="AL5"/>
      <rowBreaks count="1" manualBreakCount="1">
        <brk id="39" max="35" man="1"/>
      </rowBreaks>
      <pageMargins left="0.39370078740157483" right="0.39370078740157483" top="0.78740157480314965" bottom="0.39370078740157483" header="0.39370078740157483" footer="0.39370078740157483"/>
      <pageSetup paperSize="9" scale="38" fitToHeight="0" orientation="landscape" r:id="rId1"/>
      <headerFooter alignWithMargins="0">
        <oddHeader>&amp;CСтраница &amp;P из &amp;N</oddHeader>
      </headerFooter>
      <autoFilter ref="A6:AT59" xr:uid="{32A4CDCA-6DD8-4A68-9AC9-5769A9F2A766}"/>
    </customSheetView>
    <customSheetView guid="{7DC50C37-F81E-464D-BE66-31375C660B0F}" scale="68" showPageBreaks="1" showGridLines="0" fitToPage="1" printArea="1" hiddenRows="1" hiddenColumns="1" view="pageBreakPreview">
      <pane xSplit="11" ySplit="5" topLeftCell="T41" activePane="bottomRight" state="frozen"/>
      <selection pane="bottomRight" activeCell="Y53" sqref="Y53"/>
      <colBreaks count="1" manualBreakCount="1">
        <brk id="25" max="66" man="1"/>
      </colBreaks>
      <pageMargins left="0.39370078740157483" right="0.39370078740157483" top="0.78740157480314965" bottom="0.39370078740157483" header="0.39370078740157483" footer="0.39370078740157483"/>
      <pageSetup paperSize="9" scale="59" fitToWidth="2" fitToHeight="5" orientation="landscape" r:id="rId2"/>
      <headerFooter alignWithMargins="0">
        <oddHeader>&amp;CСтраница &amp;P из &amp;N</oddHeader>
      </headerFooter>
    </customSheetView>
    <customSheetView guid="{4CBCD9D8-B3F5-4722-8CE7-38B89561B806}" scale="68" showGridLines="0" fitToPage="1" hiddenRows="1" hiddenColumns="1">
      <pane xSplit="11" ySplit="5" topLeftCell="P26" activePane="bottomRight" state="frozen"/>
      <selection pane="bottomRight" activeCell="Q34" sqref="Q34"/>
      <colBreaks count="1" manualBreakCount="1">
        <brk id="24" max="66" man="1"/>
      </colBreaks>
      <pageMargins left="0.39370078740157483" right="0.39370078740157483" top="0.78740157480314965" bottom="0.39370078740157483" header="0.39370078740157483" footer="0.39370078740157483"/>
      <pageSetup paperSize="9" scale="62" fitToWidth="2" fitToHeight="5" orientation="landscape" r:id="rId3"/>
      <headerFooter alignWithMargins="0">
        <oddHeader>&amp;CСтраница &amp;P из &amp;N</oddHeader>
      </headerFooter>
    </customSheetView>
    <customSheetView guid="{EFA3296C-EA11-4228-A03B-6841E5AF5251}" scale="66" showPageBreaks="1" showGridLines="0" fitToPage="1" printArea="1" hiddenRows="1" hiddenColumns="1" view="pageBreakPreview">
      <pane xSplit="19" ySplit="5" topLeftCell="U52" activePane="bottomRight" state="frozen"/>
      <selection pane="bottomRight" activeCell="AC4" sqref="AC4:AC5"/>
      <colBreaks count="1" manualBreakCount="1">
        <brk id="24" max="59" man="1"/>
      </colBreaks>
      <pageMargins left="0.39370078740157483" right="0.39370078740157483" top="0.78740157480314965" bottom="0.39370078740157483" header="0.39370078740157483" footer="0.39370078740157483"/>
      <pageSetup paperSize="9" scale="69" fitToWidth="2" fitToHeight="5" orientation="landscape" r:id="rId4"/>
      <headerFooter alignWithMargins="0">
        <oddHeader>&amp;CСтраница &amp;P из &amp;N</oddHeader>
      </headerFooter>
    </customSheetView>
  </customSheetViews>
  <mergeCells count="57">
    <mergeCell ref="I2:AN2"/>
    <mergeCell ref="Y4:Z5"/>
    <mergeCell ref="V4:V5"/>
    <mergeCell ref="W4:W5"/>
    <mergeCell ref="B58:I58"/>
    <mergeCell ref="B50:I50"/>
    <mergeCell ref="B51:I51"/>
    <mergeCell ref="B52:I52"/>
    <mergeCell ref="B53:I53"/>
    <mergeCell ref="B54:I54"/>
    <mergeCell ref="B55:I55"/>
    <mergeCell ref="AI61:AN61"/>
    <mergeCell ref="B16:I16"/>
    <mergeCell ref="B47:I47"/>
    <mergeCell ref="B20:I20"/>
    <mergeCell ref="B23:I23"/>
    <mergeCell ref="B29:I29"/>
    <mergeCell ref="B33:I33"/>
    <mergeCell ref="B34:I34"/>
    <mergeCell ref="B35:I35"/>
    <mergeCell ref="B41:I41"/>
    <mergeCell ref="B42:I42"/>
    <mergeCell ref="B43:I43"/>
    <mergeCell ref="B44:I44"/>
    <mergeCell ref="B45:I45"/>
    <mergeCell ref="B17:I17"/>
    <mergeCell ref="B21:M21"/>
    <mergeCell ref="AP4:AQ4"/>
    <mergeCell ref="B7:I7"/>
    <mergeCell ref="AE4:AE5"/>
    <mergeCell ref="AH4:AI4"/>
    <mergeCell ref="B15:I15"/>
    <mergeCell ref="AA4:AB4"/>
    <mergeCell ref="AD4:AD5"/>
    <mergeCell ref="AJ4:AK4"/>
    <mergeCell ref="AL4:AM4"/>
    <mergeCell ref="AN4:AO4"/>
    <mergeCell ref="B11:I11"/>
    <mergeCell ref="B13:I13"/>
    <mergeCell ref="B14:I14"/>
    <mergeCell ref="B10:I10"/>
    <mergeCell ref="AC4:AC5"/>
    <mergeCell ref="N4:N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AF4:AG4"/>
    <mergeCell ref="X4:X5"/>
    <mergeCell ref="S4:S5"/>
    <mergeCell ref="T4:T5"/>
    <mergeCell ref="U4:U5"/>
  </mergeCells>
  <pageMargins left="0.39370078740157483" right="0.39370078740157483" top="0.78740157480314965" bottom="0.39370078740157483" header="0.39370078740157483" footer="0.39370078740157483"/>
  <pageSetup paperSize="9" scale="60" fitToWidth="2" fitToHeight="5" orientation="landscape" r:id="rId5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 </vt:lpstr>
      <vt:lpstr>'План доходов '!Заголовки_для_печати</vt:lpstr>
      <vt:lpstr>'План доходов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Пользователь</cp:lastModifiedBy>
  <cp:lastPrinted>2023-03-03T12:23:11Z</cp:lastPrinted>
  <dcterms:created xsi:type="dcterms:W3CDTF">2018-12-30T09:36:16Z</dcterms:created>
  <dcterms:modified xsi:type="dcterms:W3CDTF">2023-03-10T12:09:18Z</dcterms:modified>
</cp:coreProperties>
</file>